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165" yWindow="60" windowWidth="16665" windowHeight="10395" activeTab="0"/>
  </bookViews>
  <sheets>
    <sheet name="Sheet1" sheetId="1" r:id="rId1"/>
  </sheets>
  <definedNames>
    <definedName name="_xlfn.CHISQ.DIST" hidden="1">#NAME?</definedName>
    <definedName name="_xlfn.NORM.S.DIST" hidden="1">#NAME?</definedName>
    <definedName name="corrs">'Sheet1'!$A$179</definedName>
    <definedName name="logmeans">'Sheet1'!$A$133</definedName>
    <definedName name="means">'Sheet1'!$A$103</definedName>
    <definedName name="ratios">'Sheet1'!$A$153</definedName>
    <definedName name="ratioSDs">'Sheet1'!#REF!</definedName>
    <definedName name="SDs">'Sheet1'!#REF!</definedName>
  </definedNames>
  <calcPr fullCalcOnLoad="1"/>
</workbook>
</file>

<file path=xl/comments1.xml><?xml version="1.0" encoding="utf-8"?>
<comments xmlns="http://schemas.openxmlformats.org/spreadsheetml/2006/main">
  <authors>
    <author>Reviewer</author>
    <author>Will Hopkins</author>
    <author>Will</author>
  </authors>
  <commentList>
    <comment ref="B3" authorId="0">
      <text>
        <r>
          <rPr>
            <sz val="8"/>
            <rFont val="Tahoma"/>
            <family val="2"/>
          </rPr>
          <t>Reference and more info:  Hopkins WG (2007). A spreadsheet for deriving a confidence interval, mechanistic inference and clinical inference from a p value. Sportscience 11, 16-20 (sportsci.org/2007/wghinf.htm).</t>
        </r>
      </text>
    </comment>
    <comment ref="K4" authorId="0">
      <text>
        <r>
          <rPr>
            <sz val="8"/>
            <rFont val="Tahoma"/>
            <family val="2"/>
          </rPr>
          <t>July: clarified how this spreadsheet decides whether an effect is clinically clear using the ratio of odds of benefit to odds of harm.
April: added odds ratios for benefit/harm and how to use them.</t>
        </r>
      </text>
    </comment>
    <comment ref="M4" authorId="0">
      <text>
        <r>
          <rPr>
            <sz val="8"/>
            <rFont val="Tahoma"/>
            <family val="2"/>
          </rPr>
          <t>Dec: updated from original spreadsheet.</t>
        </r>
      </text>
    </comment>
    <comment ref="L4" authorId="0">
      <text>
        <r>
          <rPr>
            <sz val="8"/>
            <rFont val="Tahoma"/>
            <family val="2"/>
          </rPr>
          <t>July: clinical inferences now based by default on odds ratio of benefit to harm.</t>
        </r>
      </text>
    </comment>
    <comment ref="J4" authorId="1">
      <text>
        <r>
          <rPr>
            <sz val="8"/>
            <rFont val="Tahoma"/>
            <family val="2"/>
          </rPr>
          <t>Jan: fixed bug that could corrupt the text displaying the inference when rows are copied to make multiple inferences.</t>
        </r>
      </text>
    </comment>
    <comment ref="I59" authorId="2">
      <text>
        <r>
          <rPr>
            <sz val="8"/>
            <rFont val="Tahoma"/>
            <family val="2"/>
          </rPr>
          <t xml:space="preserve">The more inferences you make, the greater is the chance that you will make an error with at least one of them, as explained below.  The way to constrain this increase in error rate is by inserting the number of independent inferences here. The approach is equivalent to the Bonferroni adjustment to make the alpha level smaller for statistical significance. The price you pay for constraining the overall error rates with multiple inferences is an increase in the chance that you will have to declare effects unclear. The best solution is a bigger sample size.
With multiple inferences, I suggest you still show the default 90% confidence intervals and qualitative likelihoods for clear (adequate-precision) effects, but highlight those that would still be clear at the more conservative levels (e.g., the 100-10/5=98% level for five non-clinical effects, and with &lt;0.5/5=0.1% risk of harm for five clinical effects). You can highlight such effects in a table by showing them in </t>
        </r>
        <r>
          <rPr>
            <b/>
            <sz val="8"/>
            <rFont val="Tahoma"/>
            <family val="2"/>
          </rPr>
          <t>bold</t>
        </r>
        <r>
          <rPr>
            <sz val="8"/>
            <rFont val="Tahoma"/>
            <family val="2"/>
          </rPr>
          <t>, with an explanatory footnote.
For clinical inferences, there are two kinds of error: Type 1, when you decide to use an effect that is actually harmful; and Type 2, when you decide not to use an effect that is actually beneficial.  Default values for these errors are 0.5% and 25%.  For two inferences, halving these values keeps the overall error rates at 0.5% and 25% for the worst-case scenario of the true values of both effects being the smallest clinically important values. (More exactly, the error rates become 100*(1-(1-0.0025)^2) = 0.499% and 100*(1-(1-0.125)^2)=23.4%.)
You can consider the error rate with non-clinical inferences as simply the chance that the true value falls outside the confidence interval, which for 90% confidence limits is 10%. With two inferences, make a wider confidence interval: 95% rather than 90%. The chance that either true value is outside its interval goes down to 5% (from 10%), so the overall chance that one or both of them is outside is still only 5%+5% = 10%.   You can also consider the worst-case scenario Type-1 error rate as occurring when a marginally trivial value is declared definitively (i.e., very likely) substantial; similarly, the worst-case scenario Type-2 error rate occurs when a marginally substantial value is declared definitively not substantial (trivial or substantial of opposite sign).  Both error rates with 90% confidence limits are 5%, and with two inferences, you need to halve these rates for each inference.
The Bonferroni approach is based on the assumption that the multiple effects are independent. In reality, most effects are interdependent in a manner that the chances of making more than one error are less than the sum of the chances of the errors of each.  For example, if two effects are measuring exactly the same thing, and each has an error rate of 3%, the chances of two errors is only 3%, not 6%.  It follows that these approaches are more conservative than they need to be (that is, they overestimate the inflation of error), which is good for appeasing reviewers. Bootstrapping the overall Type-1 and Type-2 error rates is the only approach to take into account interdependence of effects, but it requires high-level programming in SAS or some other stats package with the oriiginal data, which is out of the question for most researchers.</t>
        </r>
      </text>
    </comment>
    <comment ref="I4" authorId="1">
      <text>
        <r>
          <rPr>
            <b/>
            <sz val="8"/>
            <rFont val="Tahoma"/>
            <family val="2"/>
          </rPr>
          <t>Sept.</t>
        </r>
        <r>
          <rPr>
            <sz val="8"/>
            <rFont val="Tahoma"/>
            <family val="2"/>
          </rPr>
          <t xml:space="preserve"> Removed panel for comparing SDs, pending their more appropriate inclusion in the spreadsheet </t>
        </r>
        <r>
          <rPr>
            <b/>
            <sz val="8"/>
            <rFont val="Tahoma"/>
            <family val="2"/>
          </rPr>
          <t>Combine/compare effects</t>
        </r>
        <r>
          <rPr>
            <sz val="8"/>
            <rFont val="Tahoma"/>
            <family val="2"/>
          </rPr>
          <t xml:space="preserve">. </t>
        </r>
      </text>
    </comment>
    <comment ref="H4" authorId="1">
      <text>
        <r>
          <rPr>
            <b/>
            <sz val="8"/>
            <rFont val="Tahoma"/>
            <family val="2"/>
          </rPr>
          <t>Sept.</t>
        </r>
        <r>
          <rPr>
            <sz val="8"/>
            <rFont val="Tahoma"/>
            <family val="2"/>
          </rPr>
          <t xml:space="preserve"> Added various error messages when users insert impossible threshold values.</t>
        </r>
      </text>
    </comment>
    <comment ref="E51" authorId="0">
      <text>
        <r>
          <rPr>
            <sz val="8"/>
            <rFont val="Tahoma"/>
            <family val="2"/>
          </rPr>
          <t>The chance of harm has to be less than this value for an effect to be clinically beneficial.  That is, the effect can be clinically beneficial only when it is most unlikely to be harmful.</t>
        </r>
      </text>
    </comment>
    <comment ref="G51" authorId="0">
      <text>
        <r>
          <rPr>
            <sz val="8"/>
            <rFont val="Tahoma"/>
            <family val="2"/>
          </rPr>
          <t>For a non-clinical effect to have adequate precision, the chance that the true effect is substantially positive OR the chance that the true effect is substantially negative has to be less than this value.  That is, the effect has adequate precision when the true effect is either very unlikely to be positive or very unlikely to be negative.
This value also sets the level for the confidence limits: 5 produces 90% limits, 2.5 produces 95% limits, and so on.</t>
        </r>
      </text>
    </comment>
    <comment ref="I51" authorId="0">
      <text>
        <r>
          <rPr>
            <sz val="8"/>
            <rFont val="Tahoma"/>
            <family val="2"/>
          </rPr>
          <t>The chance of benefit has to be greater than this value for an effect to be potentially clinically beneficial.  That is, the effect can be clinically beneficial only when it is at least possibly beneficial.</t>
        </r>
      </text>
    </comment>
    <comment ref="K170" authorId="2">
      <text>
        <r>
          <rPr>
            <sz val="9"/>
            <rFont val="Tahoma"/>
            <family val="2"/>
          </rPr>
          <t>The ± form is only approximate, especially for small number of subjects (&lt;20).</t>
        </r>
      </text>
    </comment>
    <comment ref="K174" authorId="2">
      <text>
        <r>
          <rPr>
            <sz val="9"/>
            <rFont val="Tahoma"/>
            <family val="2"/>
          </rPr>
          <t>The ± form is only approximate, especially for small number of subjects (&lt;20).</t>
        </r>
      </text>
    </comment>
    <comment ref="K168" authorId="2">
      <text>
        <r>
          <rPr>
            <sz val="9"/>
            <rFont val="Tahoma"/>
            <family val="2"/>
          </rPr>
          <t>The ± form is only approximate, especially for small number of subjects (&lt;20).</t>
        </r>
      </text>
    </comment>
    <comment ref="K199" authorId="2">
      <text>
        <r>
          <rPr>
            <sz val="9"/>
            <rFont val="Tahoma"/>
            <family val="2"/>
          </rPr>
          <t>The ×/÷ form is only approximate, especially for small degrees of freedom (&lt;20).</t>
        </r>
      </text>
    </comment>
    <comment ref="K204" authorId="2">
      <text>
        <r>
          <rPr>
            <sz val="9"/>
            <rFont val="Tahoma"/>
            <family val="2"/>
          </rPr>
          <t>The ×/÷ form is only approximate, especially for small degrees of freedom (&lt;20).</t>
        </r>
      </text>
    </comment>
    <comment ref="K201" authorId="2">
      <text>
        <r>
          <rPr>
            <sz val="9"/>
            <rFont val="Tahoma"/>
            <family val="2"/>
          </rPr>
          <t>The ×/÷ form is only approximate, especially for small degrees of freedom (&lt;20).</t>
        </r>
      </text>
    </comment>
    <comment ref="K206" authorId="2">
      <text>
        <r>
          <rPr>
            <sz val="9"/>
            <rFont val="Tahoma"/>
            <family val="2"/>
          </rPr>
          <t>The ×/÷ form is only approximate, especially for small degrees of freedom (&lt;20).</t>
        </r>
      </text>
    </comment>
    <comment ref="K176" authorId="2">
      <text>
        <r>
          <rPr>
            <sz val="9"/>
            <rFont val="Tahoma"/>
            <family val="2"/>
          </rPr>
          <t>The ± form is only approximate, especially for small number of subjects (&lt;20).</t>
        </r>
      </text>
    </comment>
    <comment ref="G4" authorId="2">
      <text>
        <r>
          <rPr>
            <b/>
            <sz val="9"/>
            <rFont val="Tahoma"/>
            <family val="2"/>
          </rPr>
          <t>May:</t>
        </r>
        <r>
          <rPr>
            <sz val="9"/>
            <rFont val="Tahoma"/>
            <family val="2"/>
          </rPr>
          <t xml:space="preserve"> In the description of magnitude-based decisions, </t>
        </r>
        <r>
          <rPr>
            <i/>
            <sz val="9"/>
            <rFont val="Tahoma"/>
            <family val="2"/>
          </rPr>
          <t>clear</t>
        </r>
        <r>
          <rPr>
            <sz val="9"/>
            <rFont val="Tahoma"/>
            <family val="2"/>
          </rPr>
          <t xml:space="preserve"> has been reinstated as a description of effects with adequate precision. Researchers should be careful to distinguish between clear effects and clear magnitudes. A clear possibly substantial or possibly trivial effect is not clearly substantial or trivial. A clearly substantial or clearly trivial magnitude is one that is very likely or most likely substantial or trivial. See the article on</t>
        </r>
        <r>
          <rPr>
            <b/>
            <sz val="9"/>
            <rFont val="Tahoma"/>
            <family val="2"/>
          </rPr>
          <t xml:space="preserve"> MBD as hypothesis tests </t>
        </r>
        <r>
          <rPr>
            <sz val="9"/>
            <rFont val="Tahoma"/>
            <family val="2"/>
          </rPr>
          <t xml:space="preserve">in the 2020 issue.
</t>
        </r>
        <r>
          <rPr>
            <b/>
            <sz val="9"/>
            <rFont val="Tahoma"/>
            <family val="2"/>
          </rPr>
          <t>Feb:</t>
        </r>
        <r>
          <rPr>
            <sz val="9"/>
            <rFont val="Tahoma"/>
            <family val="2"/>
          </rPr>
          <t xml:space="preserve"> </t>
        </r>
        <r>
          <rPr>
            <i/>
            <sz val="9"/>
            <rFont val="Tahoma"/>
            <family val="2"/>
          </rPr>
          <t>Confidence</t>
        </r>
        <r>
          <rPr>
            <sz val="9"/>
            <rFont val="Tahoma"/>
            <family val="2"/>
          </rPr>
          <t xml:space="preserve"> replaced by </t>
        </r>
        <r>
          <rPr>
            <i/>
            <sz val="9"/>
            <rFont val="Tahoma"/>
            <family val="2"/>
          </rPr>
          <t>compatibility.</t>
        </r>
        <r>
          <rPr>
            <sz val="9"/>
            <rFont val="Tahoma"/>
            <family val="2"/>
          </rPr>
          <t xml:space="preserve"> Effects previously described as </t>
        </r>
        <r>
          <rPr>
            <i/>
            <sz val="9"/>
            <rFont val="Tahoma"/>
            <family val="2"/>
          </rPr>
          <t>clear</t>
        </r>
        <r>
          <rPr>
            <sz val="9"/>
            <rFont val="Tahoma"/>
            <family val="2"/>
          </rPr>
          <t xml:space="preserve"> now described as effects with </t>
        </r>
        <r>
          <rPr>
            <i/>
            <sz val="9"/>
            <rFont val="Tahoma"/>
            <family val="2"/>
          </rPr>
          <t>adequate precision</t>
        </r>
        <r>
          <rPr>
            <sz val="9"/>
            <rFont val="Tahoma"/>
            <family val="2"/>
          </rPr>
          <t xml:space="preserve">. (Clear should be reserved for effect magnitudes that are very or most likely substantial or trivial.). For clinical effects with adequate precision, </t>
        </r>
        <r>
          <rPr>
            <i/>
            <sz val="9"/>
            <rFont val="Tahoma"/>
            <family val="2"/>
          </rPr>
          <t>use</t>
        </r>
        <r>
          <rPr>
            <sz val="9"/>
            <rFont val="Tahoma"/>
            <family val="2"/>
          </rPr>
          <t xml:space="preserve"> has been replaced by </t>
        </r>
        <r>
          <rPr>
            <i/>
            <sz val="9"/>
            <rFont val="Tahoma"/>
            <family val="2"/>
          </rPr>
          <t>consider using</t>
        </r>
        <r>
          <rPr>
            <sz val="9"/>
            <rFont val="Tahoma"/>
            <family val="2"/>
          </rPr>
          <t>.</t>
        </r>
      </text>
    </comment>
    <comment ref="F4" authorId="2">
      <text>
        <r>
          <rPr>
            <b/>
            <sz val="9"/>
            <rFont val="Tahoma"/>
            <family val="2"/>
          </rPr>
          <t>Oct:</t>
        </r>
        <r>
          <rPr>
            <sz val="9"/>
            <rFont val="Tahoma"/>
            <family val="2"/>
          </rPr>
          <t xml:space="preserve"> I added material to Panels 1, 2 and 5 to allow estimation of probabilities of true magnitudes (i.e., MBI) of standard deviations (SD). I also gave this Bayesian-MBI spreadsheet the default filename xcl.xls, and I gave the frequentist spreadsheet the filename xcl_frequentist.xls. I did not update the frequentist spreadsheet with the new material for SDs.
I also clarified some instructions and comments, and I restored the word </t>
        </r>
        <r>
          <rPr>
            <i/>
            <sz val="9"/>
            <rFont val="Tahoma"/>
            <family val="2"/>
          </rPr>
          <t>inference</t>
        </r>
        <r>
          <rPr>
            <sz val="9"/>
            <rFont val="Tahoma"/>
            <family val="2"/>
          </rPr>
          <t xml:space="preserve"> in places, along with </t>
        </r>
        <r>
          <rPr>
            <i/>
            <sz val="9"/>
            <rFont val="Tahoma"/>
            <family val="2"/>
          </rPr>
          <t xml:space="preserve">decisions, </t>
        </r>
        <r>
          <rPr>
            <sz val="9"/>
            <rFont val="Tahoma"/>
            <family val="2"/>
          </rPr>
          <t xml:space="preserve">because I think use of the term </t>
        </r>
        <r>
          <rPr>
            <i/>
            <sz val="9"/>
            <rFont val="Tahoma"/>
            <family val="2"/>
          </rPr>
          <t>magnitude-based inference (MBI)</t>
        </r>
        <r>
          <rPr>
            <sz val="9"/>
            <rFont val="Tahoma"/>
            <family val="2"/>
          </rPr>
          <t xml:space="preserve"> is acceptable again, since I published an article on sampling uncertainty in Frontiers in Physiology: see https://www.sportsci.org/2022/sampling.htm.</t>
        </r>
      </text>
    </comment>
    <comment ref="M51" authorId="2">
      <text>
        <r>
          <rPr>
            <sz val="9"/>
            <rFont val="Tahoma"/>
            <family val="2"/>
          </rPr>
          <t>A magnitude needs have at least this probability (i.e., very likely) for it to be clear or decisive</t>
        </r>
      </text>
    </comment>
  </commentList>
</comments>
</file>

<file path=xl/sharedStrings.xml><?xml version="1.0" encoding="utf-8"?>
<sst xmlns="http://schemas.openxmlformats.org/spreadsheetml/2006/main" count="337" uniqueCount="176">
  <si>
    <r>
      <t xml:space="preserve">Insert your data in empty white cells.  Your data will appear in </t>
    </r>
    <r>
      <rPr>
        <b/>
        <sz val="10"/>
        <color indexed="12"/>
        <rFont val="Arial"/>
        <family val="2"/>
      </rPr>
      <t>blue</t>
    </r>
    <r>
      <rPr>
        <sz val="10"/>
        <color indexed="12"/>
        <rFont val="Arial"/>
        <family val="2"/>
      </rPr>
      <t>,</t>
    </r>
    <r>
      <rPr>
        <sz val="10"/>
        <rFont val="Arial"/>
        <family val="2"/>
      </rPr>
      <t xml:space="preserve"> as in the examples.</t>
    </r>
  </si>
  <si>
    <t>In a manuscript you will need to include the zero and remove an occasional extra decimal trailing digit produced by the rounding procedure.</t>
  </si>
  <si>
    <t>Chances that the true value of the effect statistic is…</t>
  </si>
  <si>
    <t>where r is the correlation coefficient and n is the sample size. (You don't need the p value here.)</t>
  </si>
  <si>
    <t xml:space="preserve">An example is shown for each kind of statistic, followed by rows of cells for your data. </t>
  </si>
  <si>
    <r>
      <t xml:space="preserve">Results appear in </t>
    </r>
    <r>
      <rPr>
        <b/>
        <sz val="10"/>
        <color indexed="10"/>
        <rFont val="Arial"/>
        <family val="2"/>
      </rPr>
      <t>red</t>
    </r>
    <r>
      <rPr>
        <sz val="10"/>
        <rFont val="Arial"/>
        <family val="2"/>
      </rPr>
      <t xml:space="preserve"> in cells with pale colored backgrounds.</t>
    </r>
  </si>
  <si>
    <t>It is based on the assumption that, if you repeated your study many times, the log of the effect statistic would have a normal sampling distribution.</t>
  </si>
  <si>
    <t>It is based on the fact that, if you repeated your study many times, the sampling distribution of z=0.5log((1+r)/(1-r)) would be approximately normally with variance 1/(n-3),</t>
  </si>
  <si>
    <t>You also need the number of degrees of freedom for the effect statistic. If you don't have a value, here's how to work it out:</t>
  </si>
  <si>
    <t>descriptive study: sum of (number of subjects in each group minus 1);</t>
  </si>
  <si>
    <t>simple crossover or paired t-test design: number of subjects minus 1;</t>
  </si>
  <si>
    <t>multiple crossover: (number of treatments minus 1)x(number of subjects minus 1);</t>
  </si>
  <si>
    <t>parallel-groups trial: treat each group as a simple or multiple crossover, then add the degrees of freedom for each group.</t>
  </si>
  <si>
    <t>Enter values of statistics with one more significant digit than you would normally publish, to avoid substantial rounding errors.</t>
  </si>
  <si>
    <t>IMPORTANT: Use the p value for the statistic, not the p value for the whole model or for any effect in the model other than the statistic.</t>
  </si>
  <si>
    <t>most unlikely</t>
  </si>
  <si>
    <t>very unlikely</t>
  </si>
  <si>
    <t>unlikely</t>
  </si>
  <si>
    <t>possibly</t>
  </si>
  <si>
    <t>likely</t>
  </si>
  <si>
    <t>very likely</t>
  </si>
  <si>
    <t>most likely</t>
  </si>
  <si>
    <t>deg. of</t>
  </si>
  <si>
    <t>Conf.</t>
  </si>
  <si>
    <t>negligible or
trivial</t>
  </si>
  <si>
    <t>freedom</t>
  </si>
  <si>
    <t>level (%)</t>
  </si>
  <si>
    <t xml:space="preserve">lower </t>
  </si>
  <si>
    <t xml:space="preserve">upper </t>
  </si>
  <si>
    <t xml:space="preserve"> "±"</t>
  </si>
  <si>
    <t>log of</t>
  </si>
  <si>
    <r>
      <t>"</t>
    </r>
    <r>
      <rPr>
        <sz val="10"/>
        <rFont val="Symbol"/>
        <family val="1"/>
      </rPr>
      <t>´¤¸</t>
    </r>
    <r>
      <rPr>
        <sz val="10"/>
        <rFont val="Arial"/>
        <family val="2"/>
      </rPr>
      <t>"</t>
    </r>
  </si>
  <si>
    <t>positive</t>
  </si>
  <si>
    <t>negative</t>
  </si>
  <si>
    <t xml:space="preserve">Reference: Fisher RA (1921). On the probable error of a coefficient of correlation deduced from a small sample. Metron 1, 3-32. </t>
  </si>
  <si>
    <t>+z for</t>
  </si>
  <si>
    <t>-z for</t>
  </si>
  <si>
    <t>z-d</t>
  </si>
  <si>
    <t>z+d</t>
  </si>
  <si>
    <t>threshold</t>
  </si>
  <si>
    <t>For a simple standard deviation, degrees of freedom = number of subjects minus 1.</t>
  </si>
  <si>
    <t>RMSE</t>
  </si>
  <si>
    <t>lower</t>
  </si>
  <si>
    <t>upper</t>
  </si>
  <si>
    <t>Outcome expressed as either…</t>
  </si>
  <si>
    <t>Level (%) for conf. limits</t>
  </si>
  <si>
    <t>Degrees of freedom</t>
  </si>
  <si>
    <t>Value of effect statistic</t>
  </si>
  <si>
    <t>P
value</t>
  </si>
  <si>
    <t>Threshold values for...</t>
  </si>
  <si>
    <t>effect</t>
  </si>
  <si>
    <t>"×/÷"</t>
  </si>
  <si>
    <t>Number of subjects</t>
  </si>
  <si>
    <t>SE</t>
  </si>
  <si>
    <t>Fisher</t>
  </si>
  <si>
    <t>z</t>
  </si>
  <si>
    <t>Threshold values for…</t>
  </si>
  <si>
    <t xml:space="preserve">SD, CV or </t>
  </si>
  <si>
    <r>
      <t>benefit</t>
    </r>
    <r>
      <rPr>
        <b/>
        <sz val="8"/>
        <color indexed="20"/>
        <rFont val="Arial"/>
        <family val="2"/>
      </rPr>
      <t xml:space="preserve"> or</t>
    </r>
  </si>
  <si>
    <r>
      <t>harm</t>
    </r>
    <r>
      <rPr>
        <b/>
        <sz val="8"/>
        <color indexed="17"/>
        <rFont val="Arial"/>
        <family val="2"/>
      </rPr>
      <t xml:space="preserve"> or</t>
    </r>
  </si>
  <si>
    <t>For an RMSE, use the degrees of freedom provided by the stats program.</t>
  </si>
  <si>
    <t>When you provide the threshold for benefit, the threshold for harm is generated automatically.</t>
  </si>
  <si>
    <t>These are based on chances that the true magnitude of the effect is substantial in some positive and negative sense.</t>
  </si>
  <si>
    <t>How to Use this Spreadsheet</t>
  </si>
  <si>
    <t>Value of  correl. coeff.</t>
  </si>
  <si>
    <t>It is based on the assumption that, if you repeated your study many times, the effect statistic would have a normal (actually a t) sampling distribution.</t>
  </si>
  <si>
    <t>If both chances are too high, the effect is deemed unclear, as follows:</t>
  </si>
  <si>
    <t>For example, 67% chance of a beneficial effect falls between 25% and 75%, so the effect is "possibly" beneficial.</t>
  </si>
  <si>
    <t>log of ref value
for chancess</t>
  </si>
  <si>
    <r>
      <t xml:space="preserve">The cells in </t>
    </r>
    <r>
      <rPr>
        <b/>
        <sz val="10"/>
        <color indexed="20"/>
        <rFont val="Arial"/>
        <family val="2"/>
      </rPr>
      <t>plum</t>
    </r>
    <r>
      <rPr>
        <sz val="10"/>
        <rFont val="Arial"/>
        <family val="2"/>
      </rPr>
      <t xml:space="preserve"> change when you enter data in an appropriate connected cell.  These cells usually don't need changing directly, but you can change them.</t>
    </r>
  </si>
  <si>
    <t>IMPORTANT: For statistics from &gt;2x2 tables, use the p value for the risk or odds ratio, not the p value for the whole frequency table.</t>
  </si>
  <si>
    <t>1.  Raw Difference between Means and other t-Distributed Effect Statistics</t>
  </si>
  <si>
    <t>A negative percent is represented by a factor &lt;1 (e.g., -23% = 1-23/100 = 0.77).</t>
  </si>
  <si>
    <t>Read the notes in the above section about degrees of freedom.</t>
  </si>
  <si>
    <t>Value of effect as a factor</t>
  </si>
  <si>
    <t>Use this section for a difference or change in means expressed as a factor or as a percent when it is &gt;10%.  Otherwise use the above section.</t>
  </si>
  <si>
    <t>Express a percent effect as a factor (e.g., 7%=1.07, 23%=1.23, 165%=2.65) before entering it in the spreadsheet.</t>
  </si>
  <si>
    <t>Make sure you express the threshold values as factors, too.</t>
  </si>
  <si>
    <t>4.  Correlation Coefficient</t>
  </si>
  <si>
    <t>5.  Standard Deviation (SD), Coefficient of Variation (CV), or Root Mean Square Error (RMSE)</t>
  </si>
  <si>
    <t>1. Difference between Means and other t-Distributed Effect Statistics</t>
  </si>
  <si>
    <t>2. Percent and Factor Difference between Means and other Log t-Distributed Effect Statistics</t>
  </si>
  <si>
    <t>2.  Percent and Factor Difference between Means and other Log t-Distributed Effect Statistics</t>
  </si>
  <si>
    <t>3.  Rate Ratio and other Log-Normally Distributed Effect Statistics</t>
  </si>
  <si>
    <t>3. Rate Ratios and other Log-Normally Distributed Effect Statistics</t>
  </si>
  <si>
    <t>4. Correlation Coefficient</t>
  </si>
  <si>
    <t>5. Standard Deviation (SD), Coefficient of Variation (CV), or Root Mean Square Error (RMSE)</t>
  </si>
  <si>
    <t>It is based on the assumption that, if you repeated your study many times, the log of the factor effect would have a normal (actually a t) sampling distribution.</t>
  </si>
  <si>
    <t>(For some simple models, the p value for the statistic is the same as the p value for the model.)</t>
  </si>
  <si>
    <t>(Remember to Ctrl-z or otherwise undo any changes you make to such cells, or you will lose the formulae therein for any further calculations.)</t>
  </si>
  <si>
    <t>Odds ratio benefit/harm</t>
  </si>
  <si>
    <r>
      <t xml:space="preserve">The threshold for benefit can be positive ("+ive") or negative ("–ive"), </t>
    </r>
    <r>
      <rPr>
        <sz val="10"/>
        <rFont val="Arial"/>
        <family val="2"/>
      </rPr>
      <t>or for ratios, an increase ("&gt;") or decrease ("&lt;").</t>
    </r>
  </si>
  <si>
    <r>
      <t>Hover cursor</t>
    </r>
    <r>
      <rPr>
        <sz val="10"/>
        <rFont val="Arial"/>
        <family val="2"/>
      </rPr>
      <t xml:space="preserve"> for citation.</t>
    </r>
  </si>
  <si>
    <r>
      <t>Hover cursor</t>
    </r>
    <r>
      <rPr>
        <sz val="10"/>
        <rFont val="Arial"/>
        <family val="2"/>
      </rPr>
      <t xml:space="preserve"> for updates:</t>
    </r>
  </si>
  <si>
    <t>¯</t>
  </si>
  <si>
    <t>Modify decimal places with these cells.</t>
  </si>
  <si>
    <r>
      <t xml:space="preserve">Modify decimal places in cells on right </t>
    </r>
    <r>
      <rPr>
        <sz val="9"/>
        <rFont val="Symbol"/>
        <family val="1"/>
      </rPr>
      <t>®</t>
    </r>
  </si>
  <si>
    <t>Choose the level (%) for compatibility limits:</t>
  </si>
  <si>
    <t xml:space="preserve">    That is, the effect could be beneficial and therefore potentially implementable, but the risk of harm is too high.</t>
  </si>
  <si>
    <t xml:space="preserve">    That is, the effect could be substantially positive and negative (or higher and lower).</t>
  </si>
  <si>
    <t>The spreadsheet provides the decision and the chances on which they are based.</t>
  </si>
  <si>
    <t>There is also a less conservative clinical decision, based on the odds of benefit outweighing the odds of harm.</t>
  </si>
  <si>
    <t xml:space="preserve">Hover the cursor for more on decision error rates. </t>
  </si>
  <si>
    <t>The level you choose sets thresholds for describing the chances that the effect is substantial and thereby for making a decision about the magnitude, as explained below.</t>
  </si>
  <si>
    <t>For additional decisions, highlight the entire rows containing the block of grey, white and colored cells, copy, then right-click/insert copied cells.</t>
  </si>
  <si>
    <t>If you are performing multiple independent decisions, the chances of making at least one inferential error increase.</t>
  </si>
  <si>
    <t>You can constrain the error rate to that for a single decision by dividing the above chances by the number of decisions.</t>
  </si>
  <si>
    <t>Enter the number of independent decisions here:</t>
  </si>
  <si>
    <t>The spreadsheet assigns these values their correct sign and uses them for non-clinical decisions.</t>
  </si>
  <si>
    <t>followed by sections for deriving compatibility limits and decisions for each of the following kinds of statistic (click to link):</t>
  </si>
  <si>
    <t>The uncertainty is set here by default to 90%; that is, the chances are 90% that the compatibility interval encloses the true value.</t>
  </si>
  <si>
    <t>(A mistake with degrees of freedom has little effect on compatibility limits or chances, especially for &gt;20 degrees of freedom.)</t>
  </si>
  <si>
    <t>compatibility limits</t>
  </si>
  <si>
    <t>Use this method also for the compatibility limits of R: the square root of the R squared for a model.</t>
  </si>
  <si>
    <t>»</t>
  </si>
  <si>
    <t>If an effect has adequate precision, inserting the threshold value for a moderate, large, very large and extremely large effect will give the chances the effect has at least these magnitudes.</t>
  </si>
  <si>
    <t>Threshold</t>
  </si>
  <si>
    <t>for +ive</t>
  </si>
  <si>
    <r>
      <t>Chances that the true</t>
    </r>
    <r>
      <rPr>
        <sz val="10"/>
        <rFont val="SD"/>
        <family val="0"/>
      </rPr>
      <t xml:space="preserve"> SD</t>
    </r>
    <r>
      <rPr>
        <sz val="10"/>
        <rFont val="Arial"/>
        <family val="0"/>
      </rPr>
      <t xml:space="preserve"> is…</t>
    </r>
  </si>
  <si>
    <t>Substantially positive</t>
  </si>
  <si>
    <t>Negligible or trivial</t>
  </si>
  <si>
    <t>Make sure the magnitude threshold is half the value used to evaluate means.</t>
  </si>
  <si>
    <t>For a residual from a mixed model, degrees of freedom = 2*Z^2, where Z = (residual variance)/(standard error of the variance provided by the model).</t>
  </si>
  <si>
    <t>These SDs can only ever be positive; hence there is only a positive magnitude threshold and no chances of a substantial negative true SD.</t>
  </si>
  <si>
    <t xml:space="preserve">Take the square root of the lower and upper compatibility limits. If the lower limit is negative, make it positive, take the square root, then call it a negative lower limit of the SD. </t>
  </si>
  <si>
    <t xml:space="preserve">Take the square root of the lower and upper compatibility limits to get the limits for the factor SD. A lower limit &lt;1.0 for a factor SD is equivalent to a negative percent SD. </t>
  </si>
  <si>
    <t>where df is degrees of freedom, s is the sample standard deviation, and sigma is the population standard deviation.</t>
  </si>
  <si>
    <t>This assumption is reasonable for a simple sample SD, the RMSE or residual SD from a linear model, and the residual SD from a mixed linear model.</t>
  </si>
  <si>
    <t xml:space="preserve">The smallest important SD is half the usual positive threshold for effects on means. Square it. </t>
  </si>
  <si>
    <r>
      <t xml:space="preserve">Insert the squared factor SD, and the smallest important factor for means </t>
    </r>
    <r>
      <rPr>
        <i/>
        <sz val="10"/>
        <rFont val="Arial"/>
        <family val="2"/>
      </rPr>
      <t>(sic:</t>
    </r>
    <r>
      <rPr>
        <sz val="10"/>
        <rFont val="Arial"/>
        <family val="2"/>
      </rPr>
      <t xml:space="preserve"> it's the square of the square root of the smallest important). Set degrees of freedom to 999.</t>
    </r>
  </si>
  <si>
    <t>(derived after log-transformation of the dependent variable) is normally distributed.</t>
  </si>
  <si>
    <t>The smallest important SD is the square root of the factor representing the smallest important for means.</t>
  </si>
  <si>
    <t>Use Panels 1 or 2 to evaluate these SDs, but the stats package will have to provide a p value for the variance.</t>
  </si>
  <si>
    <t xml:space="preserve">This assumption is invalid for SDs representing random effects in a mixed model, where the variance is assumed to be normally distributed and therefore can be negative. </t>
  </si>
  <si>
    <t>Use it also for the variance (SD^2) representing a random effect in a mixed model, but you also need a p value based on the assumption that the variance is normally distributed.</t>
  </si>
  <si>
    <t>Use it also for the variance = (the factor SD)^2, representing a random effect in a mixed model, but you also need a p value based on the assumption that the random-effect variance</t>
  </si>
  <si>
    <t>Magnitude-based Inferences or Decisions</t>
  </si>
  <si>
    <r>
      <t xml:space="preserve">For each effect, you also have to provide a </t>
    </r>
    <r>
      <rPr>
        <sz val="10"/>
        <color indexed="60"/>
        <rFont val="Arial"/>
        <family val="2"/>
      </rPr>
      <t>threshold value for clinical benefit or non-clinical substantiveness (the smallest important effect).</t>
    </r>
  </si>
  <si>
    <t>The chances are given plain-language terms, according to this scale, showing the chances and the terms:</t>
  </si>
  <si>
    <t>You can make all the decisions in the spreadsheet more or less conservative by changing the level of compatibility limits above or individual values of levels in the above scale.</t>
  </si>
  <si>
    <t>Changing these numbers won't change the chances of the true magnitude of an effect, but it may change the decision about the effect.</t>
  </si>
  <si>
    <t>Otherwise the effect is clear (or better: the effect has adequate precision}, and you report its observed magnitude and the chances that it is substantial and/or trivial.</t>
  </si>
  <si>
    <r>
      <t xml:space="preserve">Use </t>
    </r>
    <r>
      <rPr>
        <i/>
        <sz val="10"/>
        <rFont val="Arial"/>
        <family val="2"/>
      </rPr>
      <t>clear</t>
    </r>
    <r>
      <rPr>
        <sz val="10"/>
        <rFont val="Arial"/>
        <family val="2"/>
      </rPr>
      <t xml:space="preserve"> or </t>
    </r>
    <r>
      <rPr>
        <i/>
        <sz val="10"/>
        <rFont val="Arial"/>
        <family val="2"/>
      </rPr>
      <t>clearly</t>
    </r>
    <r>
      <rPr>
        <sz val="10"/>
        <rFont val="Arial"/>
        <family val="2"/>
      </rPr>
      <t xml:space="preserve"> to describe a magnitude only when that magnitude is at least very likely (chances &gt;95%). </t>
    </r>
  </si>
  <si>
    <t xml:space="preserve">   by WG Hopkins and colleagues for ways in which to report uncertainty in magnitudes of effects.</t>
  </si>
  <si>
    <t>Insert the squared SD and the squared half of the smallest important positive value. Set degrees of freedom to 999, to make the sampling distribution normal.</t>
  </si>
  <si>
    <t>For correlations or the usual standard deviations, the spreadsheet requires a sample size or degrees of freedom, respectively, not a p value.</t>
  </si>
  <si>
    <t>Use this method for effect statistics like ratios of counts, risks, odds or hazards.</t>
  </si>
  <si>
    <r>
      <t xml:space="preserve">    In such analyses, you may report the chances for the magnitude band in which the effect falls; for example, </t>
    </r>
    <r>
      <rPr>
        <i/>
        <sz val="10"/>
        <rFont val="Arial"/>
        <family val="2"/>
      </rPr>
      <t>a possibly large increase in performance.</t>
    </r>
  </si>
  <si>
    <t>The true value is the value you would get with a very large sample using your sampling, measurement and analysis methods.</t>
  </si>
  <si>
    <t>CONFIDENCE or COMPATIBILITY LIMITS and MAGNITUDE-BASED INFERENCE from P VALUES</t>
  </si>
  <si>
    <t>Use this spreadsheet to convert a p value from a nil-hypothesis test into confidence or compatibility limits for, and decisions or inferences about, the true value of an effect statistic.</t>
  </si>
  <si>
    <t>Confidence or Compatibility Limits</t>
  </si>
  <si>
    <t>These define an interval or range of true values of an effect statistic that are compatible with the data and the analytical model used to derive the effect.</t>
  </si>
  <si>
    <t>The limits (or interval) are derived from the traditional p value by making the same statistical assumptions that a stats package uses to derive the traditional p value.</t>
  </si>
  <si>
    <r>
      <t xml:space="preserve">For more on thresholds for important effects, see the article on </t>
    </r>
    <r>
      <rPr>
        <b/>
        <sz val="10"/>
        <color indexed="60"/>
        <rFont val="Arial"/>
        <family val="2"/>
      </rPr>
      <t>Linear Models and Effect Magnitudes</t>
    </r>
    <r>
      <rPr>
        <sz val="10"/>
        <color indexed="60"/>
        <rFont val="Arial"/>
        <family val="2"/>
      </rPr>
      <t xml:space="preserve"> at https://www.sportsci.org/2010/wghlinmod.htm.</t>
    </r>
  </si>
  <si>
    <r>
      <t xml:space="preserve">See see also the Appendix of the article </t>
    </r>
    <r>
      <rPr>
        <b/>
        <sz val="10"/>
        <color indexed="60"/>
        <rFont val="Arial"/>
        <family val="2"/>
      </rPr>
      <t>Magnitude-based Decisions as Hypothesis tests</t>
    </r>
    <r>
      <rPr>
        <sz val="10"/>
        <color indexed="60"/>
        <rFont val="Arial"/>
        <family val="2"/>
      </rPr>
      <t xml:space="preserve"> at https://www.sportsci.org/2020/MBDtests.htm, and recent publications</t>
    </r>
  </si>
  <si>
    <r>
      <t xml:space="preserve">For decisions or inferences when you have confidence limits but no p value, use the </t>
    </r>
    <r>
      <rPr>
        <b/>
        <sz val="10"/>
        <rFont val="Arial"/>
        <family val="2"/>
      </rPr>
      <t>Combine/compare effects</t>
    </r>
    <r>
      <rPr>
        <sz val="10"/>
        <rFont val="Arial"/>
        <family val="2"/>
      </rPr>
      <t xml:space="preserve"> spreadsheet (use the tab for </t>
    </r>
    <r>
      <rPr>
        <b/>
        <sz val="10"/>
        <rFont val="Arial"/>
        <family val="2"/>
      </rPr>
      <t>1 or more groups</t>
    </r>
    <r>
      <rPr>
        <sz val="10"/>
        <rFont val="Arial"/>
        <family val="2"/>
      </rPr>
      <t>).</t>
    </r>
  </si>
  <si>
    <t>This spreadsheet contains brief information on confidence limits and magnitude-based decisions or inferences,</t>
  </si>
  <si>
    <t>The statistic and its confidence interval and limits are rounded to an appropriate number of digits, but Excel drops off any trailing zero.</t>
  </si>
  <si>
    <t>The calculations don't work if p is exactly 1 or effects are exactly 0 (or 1 for ratios). Include decimal places from the stats package, or use p=0.99, effect=0.001 (or 1.001 for ratios).</t>
  </si>
  <si>
    <t xml:space="preserve">The decision can also be expressed in terms of "coverage" of compatibility intervals: if the interval includes substantial or trivial values, the true effect could be substantial or trivial. </t>
  </si>
  <si>
    <t>(If an effect with adequate precision is possibly substantial and possibly trivial, the decision shows only possibly substantial, but you should report possibly trivial and possibly substantial.)</t>
  </si>
  <si>
    <r>
      <rPr>
        <b/>
        <sz val="10"/>
        <color indexed="60"/>
        <rFont val="Arial"/>
        <family val="2"/>
      </rPr>
      <t>This spreadsheet does not provide qualitative interpretations</t>
    </r>
    <r>
      <rPr>
        <sz val="10"/>
        <color indexed="60"/>
        <rFont val="Arial"/>
        <family val="2"/>
      </rPr>
      <t xml:space="preserve"> (trivial, small, moderate, etc.) of the observed effect or the confidence limits. You have to work these out.</t>
    </r>
  </si>
  <si>
    <t>Use this method for effect statistics like differences in means, changes in means, or differences between changes in means, in raw units or in percent units &lt;10%.</t>
  </si>
  <si>
    <t>Convert the derived factor and confidence limits back into percents if they are &lt;~1.5 or &gt;~0.5; otherwise report them as factors.</t>
  </si>
  <si>
    <t>The default threshold r is 0.1.</t>
  </si>
  <si>
    <t xml:space="preserve">This method works for Pearson correlation coefficients between variables in a sample of individuals. </t>
  </si>
  <si>
    <t>Use it also to generate confidence limits for validity correlations and simple test-retest reliability correlations. But a smallest important (threshold) correlation isn't appropriate here.</t>
  </si>
  <si>
    <t>Instead, interpret the magnitude of the lower and upper confidence limits, using magnitude scales in the slideshow accompanying the article on validity and reliabiility at sportsci.org.</t>
  </si>
  <si>
    <t>(For Number of subjects, use degrees of freedom of the error term plus 2.)</t>
  </si>
  <si>
    <t>The "±" version of confidence limits is approximate only, because the confidence interval is asymmetric about the observed correlation.</t>
  </si>
  <si>
    <t>This section generates confidence limits for an SD using its degrees of freedom.</t>
  </si>
  <si>
    <t>The confidence limits here are based on the assumption that the sampling distribution of df*(s/sigma)^2 is the chi-squared distribution,</t>
  </si>
  <si>
    <t>If the SD is a CV &gt;10%, you should convert it to a factor, log-transform it and the smallest important, insert the values, then back-transform to a CV and confidence limits (%).</t>
  </si>
  <si>
    <t>The "×/÷" version of the confidence limits becomes a more crude approximation for the asymmetric confidence interval as df falls below 10.</t>
  </si>
  <si>
    <t>The smallest important factor effect is usually 0.90 and 1/0.90=1.11 for a decrease and increase respectively. These won't apply, if the smallest important is defined by standardization.</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</si>
</sst>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000"/>
    <numFmt numFmtId="175" formatCode="0.000000"/>
    <numFmt numFmtId="176" formatCode="0.00000"/>
    <numFmt numFmtId="177" formatCode="0.0000"/>
  </numFmts>
  <fonts count="83">
    <font>
      <sz val="10"/>
      <name val="Arial"/>
      <family val="0"/>
    </font>
    <font>
      <sz val="11"/>
      <name val="Arial"/>
      <family val="2"/>
    </font>
    <font>
      <b/>
      <sz val="11"/>
      <name val="Arial"/>
      <family val="2"/>
    </font>
    <font>
      <b/>
      <sz val="10"/>
      <color indexed="20"/>
      <name val="Arial"/>
      <family val="2"/>
    </font>
    <font>
      <b/>
      <sz val="10"/>
      <color indexed="12"/>
      <name val="Arial"/>
      <family val="2"/>
    </font>
    <font>
      <b/>
      <sz val="10"/>
      <color indexed="10"/>
      <name val="Arial"/>
      <family val="2"/>
    </font>
    <font>
      <sz val="10"/>
      <name val="Symbol"/>
      <family val="1"/>
    </font>
    <font>
      <b/>
      <sz val="10"/>
      <name val="Arial"/>
      <family val="2"/>
    </font>
    <font>
      <sz val="10"/>
      <color indexed="57"/>
      <name val="Arial"/>
      <family val="2"/>
    </font>
    <font>
      <b/>
      <sz val="10"/>
      <color indexed="53"/>
      <name val="Arial"/>
      <family val="2"/>
    </font>
    <font>
      <sz val="10"/>
      <color indexed="12"/>
      <name val="Arial"/>
      <family val="2"/>
    </font>
    <font>
      <sz val="10"/>
      <color indexed="61"/>
      <name val="Arial"/>
      <family val="2"/>
    </font>
    <font>
      <sz val="9"/>
      <name val="Arial"/>
      <family val="2"/>
    </font>
    <font>
      <b/>
      <sz val="10"/>
      <color indexed="61"/>
      <name val="Arial"/>
      <family val="2"/>
    </font>
    <font>
      <sz val="9"/>
      <color indexed="10"/>
      <name val="Arial"/>
      <family val="2"/>
    </font>
    <font>
      <sz val="10"/>
      <color indexed="20"/>
      <name val="Arial"/>
      <family val="2"/>
    </font>
    <font>
      <b/>
      <sz val="10"/>
      <color indexed="60"/>
      <name val="Arial"/>
      <family val="2"/>
    </font>
    <font>
      <sz val="10"/>
      <color indexed="10"/>
      <name val="Arial"/>
      <family val="2"/>
    </font>
    <font>
      <sz val="8"/>
      <name val="Arial"/>
      <family val="2"/>
    </font>
    <font>
      <u val="single"/>
      <sz val="7.5"/>
      <color indexed="36"/>
      <name val="Arial"/>
      <family val="2"/>
    </font>
    <font>
      <b/>
      <sz val="9"/>
      <color indexed="20"/>
      <name val="Arial"/>
      <family val="2"/>
    </font>
    <font>
      <b/>
      <sz val="8"/>
      <color indexed="20"/>
      <name val="Arial"/>
      <family val="2"/>
    </font>
    <font>
      <b/>
      <sz val="9"/>
      <color indexed="17"/>
      <name val="Arial"/>
      <family val="2"/>
    </font>
    <font>
      <b/>
      <sz val="8"/>
      <color indexed="17"/>
      <name val="Arial"/>
      <family val="2"/>
    </font>
    <font>
      <b/>
      <sz val="9"/>
      <color indexed="54"/>
      <name val="Arial"/>
      <family val="2"/>
    </font>
    <font>
      <u val="single"/>
      <sz val="10"/>
      <color indexed="12"/>
      <name val="Arial"/>
      <family val="2"/>
    </font>
    <font>
      <sz val="8"/>
      <name val="Tahoma"/>
      <family val="2"/>
    </font>
    <font>
      <i/>
      <sz val="10"/>
      <name val="Arial"/>
      <family val="2"/>
    </font>
    <font>
      <sz val="9"/>
      <name val="Symbol"/>
      <family val="1"/>
    </font>
    <font>
      <b/>
      <sz val="8"/>
      <name val="Tahoma"/>
      <family val="2"/>
    </font>
    <font>
      <sz val="11"/>
      <name val="Symbol"/>
      <family val="1"/>
    </font>
    <font>
      <sz val="9"/>
      <name val="Tahoma"/>
      <family val="2"/>
    </font>
    <font>
      <b/>
      <sz val="9"/>
      <name val="Tahoma"/>
      <family val="2"/>
    </font>
    <font>
      <i/>
      <sz val="9"/>
      <name val="Tahoma"/>
      <family val="2"/>
    </font>
    <font>
      <sz val="10"/>
      <name val="SD"/>
      <family val="0"/>
    </font>
    <font>
      <sz val="10"/>
      <color indexed="6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25"/>
      <name val="Arial"/>
      <family val="2"/>
    </font>
    <font>
      <b/>
      <sz val="10"/>
      <color indexed="29"/>
      <name val="Arial"/>
      <family val="2"/>
    </font>
    <font>
      <sz val="8"/>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rgb="FF0000FF"/>
      <name val="Arial"/>
      <family val="2"/>
    </font>
    <font>
      <b/>
      <sz val="10"/>
      <color rgb="FF993366"/>
      <name val="Arial"/>
      <family val="2"/>
    </font>
    <font>
      <b/>
      <sz val="10"/>
      <color theme="4" tint="0.7999799847602844"/>
      <name val="Arial"/>
      <family val="2"/>
    </font>
    <font>
      <sz val="8"/>
      <color rgb="FFC00000"/>
      <name val="Arial"/>
      <family val="2"/>
    </font>
    <font>
      <b/>
      <sz val="10"/>
      <color rgb="FF800080"/>
      <name val="Arial"/>
      <family val="2"/>
    </font>
    <font>
      <b/>
      <sz val="10"/>
      <color rgb="FF993300"/>
      <name val="Arial"/>
      <family val="2"/>
    </font>
    <font>
      <sz val="10"/>
      <color rgb="FF993300"/>
      <name val="Arial"/>
      <family val="2"/>
    </font>
    <font>
      <b/>
      <sz val="9"/>
      <color rgb="FF800080"/>
      <name val="Arial"/>
      <family val="2"/>
    </font>
    <font>
      <b/>
      <sz val="8"/>
      <name val="Arial"/>
      <family val="2"/>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41"/>
        <bgColor indexed="64"/>
      </patternFill>
    </fill>
    <fill>
      <patternFill patternType="solid">
        <fgColor indexed="44"/>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4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medium"/>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19" fillId="0" borderId="0" applyNumberFormat="0" applyFill="0" applyBorder="0" applyAlignment="0" applyProtection="0"/>
    <xf numFmtId="0" fontId="62" fillId="28"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5" fillId="0" borderId="0" applyNumberFormat="0" applyFill="0" applyBorder="0" applyAlignment="0" applyProtection="0"/>
    <xf numFmtId="0" fontId="66" fillId="29" borderId="1" applyNumberFormat="0" applyAlignment="0" applyProtection="0"/>
    <xf numFmtId="0" fontId="67" fillId="0" borderId="6" applyNumberFormat="0" applyFill="0" applyAlignment="0" applyProtection="0"/>
    <xf numFmtId="0" fontId="68" fillId="30" borderId="0" applyNumberFormat="0" applyBorder="0" applyAlignment="0" applyProtection="0"/>
    <xf numFmtId="0" fontId="0" fillId="31" borderId="7" applyNumberFormat="0" applyFont="0" applyAlignment="0" applyProtection="0"/>
    <xf numFmtId="0" fontId="69" fillId="26"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76">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0" fontId="1" fillId="0" borderId="0" xfId="0" applyFont="1" applyBorder="1" applyAlignment="1">
      <alignment/>
    </xf>
    <xf numFmtId="0" fontId="7" fillId="0" borderId="0" xfId="0" applyFont="1" applyAlignment="1">
      <alignment/>
    </xf>
    <xf numFmtId="0" fontId="7" fillId="0" borderId="0" xfId="0" applyFont="1" applyBorder="1" applyAlignment="1">
      <alignment/>
    </xf>
    <xf numFmtId="0" fontId="8" fillId="0" borderId="0" xfId="0" applyFont="1" applyAlignment="1">
      <alignment/>
    </xf>
    <xf numFmtId="0" fontId="8" fillId="0" borderId="0" xfId="0" applyFont="1" applyBorder="1" applyAlignment="1">
      <alignment/>
    </xf>
    <xf numFmtId="0" fontId="0" fillId="0" borderId="0" xfId="0" applyFont="1" applyAlignment="1">
      <alignment horizontal="center" vertical="center" wrapText="1"/>
    </xf>
    <xf numFmtId="0" fontId="0" fillId="0" borderId="0" xfId="0" applyFont="1" applyBorder="1" applyAlignment="1">
      <alignment horizontal="center" vertical="center" wrapText="1"/>
    </xf>
    <xf numFmtId="0" fontId="4" fillId="0" borderId="10" xfId="0" applyNumberFormat="1" applyFont="1" applyBorder="1" applyAlignment="1">
      <alignment horizontal="center"/>
    </xf>
    <xf numFmtId="173" fontId="15" fillId="0" borderId="0" xfId="0" applyNumberFormat="1" applyFont="1" applyFill="1" applyBorder="1" applyAlignment="1">
      <alignment horizontal="center"/>
    </xf>
    <xf numFmtId="0" fontId="0" fillId="0" borderId="0" xfId="0" applyFont="1" applyBorder="1" applyAlignment="1">
      <alignment horizontal="left"/>
    </xf>
    <xf numFmtId="174" fontId="8" fillId="0" borderId="0" xfId="0" applyNumberFormat="1" applyFont="1" applyAlignment="1">
      <alignment/>
    </xf>
    <xf numFmtId="0" fontId="0" fillId="32" borderId="11" xfId="0" applyFont="1" applyFill="1" applyBorder="1" applyAlignment="1">
      <alignment horizontal="center"/>
    </xf>
    <xf numFmtId="0" fontId="0" fillId="32" borderId="12" xfId="0" applyFont="1" applyFill="1" applyBorder="1" applyAlignment="1">
      <alignment horizontal="center" wrapText="1"/>
    </xf>
    <xf numFmtId="0" fontId="4" fillId="0" borderId="11" xfId="0" applyNumberFormat="1" applyFont="1" applyBorder="1" applyAlignment="1">
      <alignment horizontal="center"/>
    </xf>
    <xf numFmtId="0" fontId="0" fillId="0" borderId="0" xfId="0" applyFont="1" applyBorder="1" applyAlignment="1">
      <alignment/>
    </xf>
    <xf numFmtId="0" fontId="0" fillId="32" borderId="13" xfId="0" applyFont="1" applyFill="1" applyBorder="1" applyAlignment="1">
      <alignment/>
    </xf>
    <xf numFmtId="0" fontId="0" fillId="32" borderId="13" xfId="0" applyFont="1" applyFill="1" applyBorder="1" applyAlignment="1" quotePrefix="1">
      <alignment horizontal="center"/>
    </xf>
    <xf numFmtId="0" fontId="12" fillId="0" borderId="0" xfId="0" applyFont="1" applyAlignment="1">
      <alignment/>
    </xf>
    <xf numFmtId="0" fontId="0" fillId="32" borderId="14" xfId="0" applyFont="1" applyFill="1" applyBorder="1" applyAlignment="1">
      <alignment horizontal="center"/>
    </xf>
    <xf numFmtId="0" fontId="0" fillId="32" borderId="15" xfId="0" applyFont="1" applyFill="1" applyBorder="1" applyAlignment="1">
      <alignment horizontal="center"/>
    </xf>
    <xf numFmtId="0" fontId="4" fillId="0" borderId="16" xfId="0" applyFont="1" applyBorder="1" applyAlignment="1">
      <alignment horizontal="center"/>
    </xf>
    <xf numFmtId="2" fontId="4" fillId="0" borderId="17" xfId="0" applyNumberFormat="1" applyFont="1" applyBorder="1" applyAlignment="1">
      <alignment horizontal="center"/>
    </xf>
    <xf numFmtId="2" fontId="0" fillId="32" borderId="14" xfId="0" applyNumberFormat="1" applyFont="1" applyFill="1" applyBorder="1" applyAlignment="1">
      <alignment horizontal="center"/>
    </xf>
    <xf numFmtId="2" fontId="0" fillId="32" borderId="17" xfId="0" applyNumberFormat="1" applyFont="1" applyFill="1" applyBorder="1" applyAlignment="1">
      <alignment horizontal="center"/>
    </xf>
    <xf numFmtId="2" fontId="0" fillId="32" borderId="15" xfId="0" applyNumberFormat="1" applyFont="1" applyFill="1" applyBorder="1" applyAlignment="1">
      <alignment horizontal="center"/>
    </xf>
    <xf numFmtId="0" fontId="0" fillId="0" borderId="0" xfId="0" applyFont="1" applyBorder="1" applyAlignment="1">
      <alignment/>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0" xfId="0" applyFont="1" applyBorder="1" applyAlignment="1">
      <alignment horizontal="left" vertical="center"/>
    </xf>
    <xf numFmtId="11" fontId="12" fillId="0" borderId="0" xfId="0" applyNumberFormat="1" applyFont="1" applyAlignment="1">
      <alignment horizontal="right"/>
    </xf>
    <xf numFmtId="0" fontId="4" fillId="0" borderId="18" xfId="0" applyNumberFormat="1" applyFont="1" applyBorder="1" applyAlignment="1">
      <alignment horizontal="center"/>
    </xf>
    <xf numFmtId="1" fontId="4" fillId="0" borderId="19" xfId="0" applyNumberFormat="1" applyFont="1" applyBorder="1" applyAlignment="1">
      <alignment horizontal="center"/>
    </xf>
    <xf numFmtId="0" fontId="4" fillId="0" borderId="11" xfId="0" applyFont="1" applyBorder="1" applyAlignment="1">
      <alignment horizontal="center"/>
    </xf>
    <xf numFmtId="0" fontId="13" fillId="0" borderId="11" xfId="0" applyFont="1" applyBorder="1" applyAlignment="1">
      <alignment horizontal="center"/>
    </xf>
    <xf numFmtId="172" fontId="4" fillId="0" borderId="10" xfId="0" applyNumberFormat="1" applyFont="1" applyBorder="1" applyAlignment="1">
      <alignment horizontal="center"/>
    </xf>
    <xf numFmtId="173" fontId="0" fillId="32" borderId="10" xfId="0" applyNumberFormat="1" applyFont="1" applyFill="1" applyBorder="1" applyAlignment="1">
      <alignment horizontal="center"/>
    </xf>
    <xf numFmtId="0" fontId="12" fillId="32" borderId="10" xfId="0" applyFont="1" applyFill="1" applyBorder="1" applyAlignment="1">
      <alignment horizontal="center"/>
    </xf>
    <xf numFmtId="0" fontId="12" fillId="32" borderId="10" xfId="0" applyFont="1" applyFill="1" applyBorder="1" applyAlignment="1">
      <alignment/>
    </xf>
    <xf numFmtId="0" fontId="0" fillId="32" borderId="11" xfId="0" applyFont="1" applyFill="1" applyBorder="1" applyAlignment="1">
      <alignment/>
    </xf>
    <xf numFmtId="0" fontId="0" fillId="32" borderId="16" xfId="0" applyFont="1" applyFill="1" applyBorder="1" applyAlignment="1">
      <alignment horizontal="center"/>
    </xf>
    <xf numFmtId="2" fontId="5" fillId="0" borderId="0" xfId="0" applyNumberFormat="1" applyFont="1" applyBorder="1" applyAlignment="1">
      <alignment horizontal="center"/>
    </xf>
    <xf numFmtId="0" fontId="0" fillId="0" borderId="0" xfId="0" applyFont="1" applyBorder="1" applyAlignment="1">
      <alignment/>
    </xf>
    <xf numFmtId="172" fontId="7" fillId="0" borderId="0" xfId="0" applyNumberFormat="1" applyFont="1" applyBorder="1" applyAlignment="1">
      <alignment horizontal="center"/>
    </xf>
    <xf numFmtId="0" fontId="12" fillId="32" borderId="10" xfId="0" applyFont="1" applyFill="1" applyBorder="1" applyAlignment="1">
      <alignment horizontal="center" wrapText="1"/>
    </xf>
    <xf numFmtId="0" fontId="12" fillId="32" borderId="20" xfId="0" applyFont="1" applyFill="1" applyBorder="1" applyAlignment="1">
      <alignment horizontal="center" wrapText="1"/>
    </xf>
    <xf numFmtId="0" fontId="12" fillId="32" borderId="0" xfId="0" applyFont="1" applyFill="1" applyBorder="1" applyAlignment="1">
      <alignment horizontal="center" wrapText="1"/>
    </xf>
    <xf numFmtId="0" fontId="12" fillId="32" borderId="14" xfId="0" applyFont="1" applyFill="1" applyBorder="1" applyAlignment="1">
      <alignment horizontal="center" wrapText="1"/>
    </xf>
    <xf numFmtId="0" fontId="12" fillId="32" borderId="15" xfId="0" applyFont="1" applyFill="1" applyBorder="1" applyAlignment="1">
      <alignment horizontal="center" wrapText="1"/>
    </xf>
    <xf numFmtId="0" fontId="0" fillId="32" borderId="12" xfId="0" applyFont="1" applyFill="1" applyBorder="1" applyAlignment="1">
      <alignment horizontal="center"/>
    </xf>
    <xf numFmtId="0" fontId="0" fillId="32" borderId="13" xfId="0" applyFont="1" applyFill="1" applyBorder="1" applyAlignment="1">
      <alignment horizontal="center" wrapText="1"/>
    </xf>
    <xf numFmtId="0" fontId="0" fillId="32" borderId="16" xfId="0" applyFont="1" applyFill="1" applyBorder="1" applyAlignment="1">
      <alignment horizontal="center" wrapText="1"/>
    </xf>
    <xf numFmtId="0" fontId="12" fillId="32" borderId="11" xfId="0" applyFont="1" applyFill="1" applyBorder="1" applyAlignment="1">
      <alignment horizontal="center" wrapText="1"/>
    </xf>
    <xf numFmtId="0" fontId="0" fillId="32" borderId="18" xfId="0" applyFont="1" applyFill="1" applyBorder="1" applyAlignment="1">
      <alignment horizontal="center"/>
    </xf>
    <xf numFmtId="1" fontId="0" fillId="32" borderId="15" xfId="0" applyNumberFormat="1" applyFont="1" applyFill="1" applyBorder="1" applyAlignment="1">
      <alignment horizontal="center"/>
    </xf>
    <xf numFmtId="0" fontId="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0" fillId="32" borderId="11" xfId="0" applyFont="1" applyFill="1" applyBorder="1" applyAlignment="1">
      <alignment horizontal="center" wrapText="1"/>
    </xf>
    <xf numFmtId="0" fontId="20" fillId="32" borderId="16" xfId="0" applyFont="1" applyFill="1" applyBorder="1" applyAlignment="1">
      <alignment horizontal="center"/>
    </xf>
    <xf numFmtId="0" fontId="22" fillId="32" borderId="11" xfId="0" applyFont="1" applyFill="1" applyBorder="1" applyAlignment="1">
      <alignment horizontal="center" wrapText="1"/>
    </xf>
    <xf numFmtId="0" fontId="22" fillId="32" borderId="16" xfId="0" applyFont="1" applyFill="1" applyBorder="1" applyAlignment="1">
      <alignment horizontal="center"/>
    </xf>
    <xf numFmtId="0" fontId="0" fillId="33" borderId="0" xfId="0" applyFont="1" applyFill="1" applyBorder="1" applyAlignment="1">
      <alignment/>
    </xf>
    <xf numFmtId="0" fontId="15" fillId="33" borderId="0" xfId="0" applyFont="1" applyFill="1" applyBorder="1" applyAlignment="1">
      <alignment/>
    </xf>
    <xf numFmtId="172" fontId="15" fillId="33" borderId="0" xfId="0" applyNumberFormat="1" applyFont="1" applyFill="1" applyBorder="1" applyAlignment="1">
      <alignment horizontal="center"/>
    </xf>
    <xf numFmtId="0" fontId="3" fillId="33" borderId="0" xfId="0" applyNumberFormat="1" applyFont="1" applyFill="1" applyBorder="1" applyAlignment="1">
      <alignment horizontal="center"/>
    </xf>
    <xf numFmtId="2" fontId="15" fillId="33" borderId="0" xfId="0" applyNumberFormat="1" applyFont="1" applyFill="1" applyBorder="1" applyAlignment="1">
      <alignment horizontal="center"/>
    </xf>
    <xf numFmtId="0" fontId="1" fillId="0" borderId="21" xfId="0" applyFont="1" applyBorder="1" applyAlignment="1">
      <alignment/>
    </xf>
    <xf numFmtId="0" fontId="1" fillId="0" borderId="22" xfId="0" applyFont="1" applyBorder="1" applyAlignment="1">
      <alignment/>
    </xf>
    <xf numFmtId="0" fontId="7" fillId="0" borderId="21" xfId="0" applyFont="1" applyBorder="1" applyAlignment="1">
      <alignment/>
    </xf>
    <xf numFmtId="0" fontId="7" fillId="0" borderId="22" xfId="0" applyFont="1" applyBorder="1" applyAlignment="1">
      <alignment/>
    </xf>
    <xf numFmtId="0" fontId="0" fillId="0" borderId="21" xfId="0" applyFont="1" applyBorder="1" applyAlignment="1">
      <alignment/>
    </xf>
    <xf numFmtId="0" fontId="0" fillId="0" borderId="22" xfId="0" applyFont="1" applyBorder="1" applyAlignment="1">
      <alignment/>
    </xf>
    <xf numFmtId="0" fontId="8" fillId="0" borderId="21" xfId="0" applyFont="1" applyBorder="1" applyAlignment="1">
      <alignment/>
    </xf>
    <xf numFmtId="0" fontId="9" fillId="0" borderId="0" xfId="0" applyFont="1" applyBorder="1" applyAlignment="1">
      <alignment/>
    </xf>
    <xf numFmtId="0" fontId="8" fillId="0" borderId="22" xfId="0" applyFont="1" applyBorder="1" applyAlignment="1">
      <alignment/>
    </xf>
    <xf numFmtId="0" fontId="0" fillId="33" borderId="21" xfId="0" applyFont="1" applyFill="1" applyBorder="1" applyAlignment="1">
      <alignment/>
    </xf>
    <xf numFmtId="0" fontId="8" fillId="33" borderId="0" xfId="0" applyNumberFormat="1" applyFont="1" applyFill="1" applyBorder="1" applyAlignment="1">
      <alignment/>
    </xf>
    <xf numFmtId="0" fontId="0" fillId="33" borderId="22" xfId="0" applyFont="1" applyFill="1" applyBorder="1" applyAlignment="1">
      <alignment/>
    </xf>
    <xf numFmtId="0" fontId="15" fillId="33" borderId="21" xfId="0" applyFont="1" applyFill="1" applyBorder="1" applyAlignment="1">
      <alignment/>
    </xf>
    <xf numFmtId="0" fontId="0" fillId="33" borderId="22" xfId="0" applyFont="1" applyFill="1" applyBorder="1" applyAlignment="1">
      <alignment/>
    </xf>
    <xf numFmtId="0" fontId="15" fillId="33" borderId="21" xfId="0" applyFont="1" applyFill="1" applyBorder="1" applyAlignment="1">
      <alignment/>
    </xf>
    <xf numFmtId="0" fontId="0" fillId="33" borderId="23" xfId="0" applyFont="1" applyFill="1" applyBorder="1" applyAlignment="1">
      <alignment/>
    </xf>
    <xf numFmtId="0" fontId="0" fillId="33" borderId="24" xfId="0" applyFont="1" applyFill="1" applyBorder="1" applyAlignment="1">
      <alignment/>
    </xf>
    <xf numFmtId="172" fontId="15" fillId="33" borderId="24" xfId="0" applyNumberFormat="1" applyFont="1" applyFill="1" applyBorder="1" applyAlignment="1">
      <alignment horizontal="center"/>
    </xf>
    <xf numFmtId="0" fontId="3" fillId="33" borderId="24" xfId="0" applyNumberFormat="1" applyFont="1" applyFill="1" applyBorder="1" applyAlignment="1">
      <alignment horizontal="center"/>
    </xf>
    <xf numFmtId="2" fontId="15" fillId="33" borderId="24" xfId="0" applyNumberFormat="1" applyFont="1" applyFill="1" applyBorder="1" applyAlignment="1">
      <alignment horizontal="center"/>
    </xf>
    <xf numFmtId="0" fontId="0" fillId="33" borderId="25" xfId="0" applyFont="1" applyFill="1" applyBorder="1" applyAlignment="1">
      <alignment/>
    </xf>
    <xf numFmtId="0" fontId="0" fillId="0" borderId="21" xfId="0"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xf>
    <xf numFmtId="172" fontId="17" fillId="4" borderId="20" xfId="0" applyNumberFormat="1" applyFont="1" applyFill="1" applyBorder="1" applyAlignment="1">
      <alignment horizontal="right"/>
    </xf>
    <xf numFmtId="1" fontId="14" fillId="4" borderId="26" xfId="0" applyNumberFormat="1" applyFont="1" applyFill="1" applyBorder="1" applyAlignment="1">
      <alignment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173" fontId="15" fillId="33" borderId="24" xfId="0" applyNumberFormat="1" applyFont="1" applyFill="1" applyBorder="1" applyAlignment="1">
      <alignment horizontal="center"/>
    </xf>
    <xf numFmtId="173" fontId="15" fillId="33" borderId="0" xfId="0" applyNumberFormat="1" applyFont="1" applyFill="1" applyBorder="1" applyAlignment="1">
      <alignment horizontal="center"/>
    </xf>
    <xf numFmtId="0" fontId="0" fillId="0" borderId="21" xfId="0" applyFont="1" applyBorder="1" applyAlignment="1">
      <alignment/>
    </xf>
    <xf numFmtId="0" fontId="0" fillId="0" borderId="22" xfId="0" applyFont="1" applyBorder="1" applyAlignment="1">
      <alignment/>
    </xf>
    <xf numFmtId="0" fontId="0" fillId="0" borderId="21" xfId="0" applyFont="1" applyBorder="1" applyAlignment="1">
      <alignment/>
    </xf>
    <xf numFmtId="0" fontId="12" fillId="33" borderId="21" xfId="0" applyFont="1" applyFill="1" applyBorder="1" applyAlignment="1">
      <alignment/>
    </xf>
    <xf numFmtId="2" fontId="16" fillId="33" borderId="0" xfId="0" applyNumberFormat="1" applyFont="1" applyFill="1" applyBorder="1" applyAlignment="1">
      <alignment horizontal="center"/>
    </xf>
    <xf numFmtId="1" fontId="16" fillId="33" borderId="0" xfId="0" applyNumberFormat="1" applyFont="1" applyFill="1" applyBorder="1" applyAlignment="1">
      <alignment horizontal="center"/>
    </xf>
    <xf numFmtId="2" fontId="4" fillId="33" borderId="24" xfId="0" applyNumberFormat="1" applyFont="1" applyFill="1" applyBorder="1" applyAlignment="1">
      <alignment horizontal="center"/>
    </xf>
    <xf numFmtId="1" fontId="4" fillId="33" borderId="24" xfId="0" applyNumberFormat="1" applyFont="1" applyFill="1" applyBorder="1" applyAlignment="1">
      <alignment horizontal="center"/>
    </xf>
    <xf numFmtId="0" fontId="4" fillId="33" borderId="24" xfId="0" applyNumberFormat="1" applyFont="1" applyFill="1" applyBorder="1" applyAlignment="1">
      <alignment horizontal="center"/>
    </xf>
    <xf numFmtId="2" fontId="5" fillId="33" borderId="24" xfId="0" applyNumberFormat="1" applyFont="1" applyFill="1" applyBorder="1" applyAlignment="1">
      <alignment horizontal="center"/>
    </xf>
    <xf numFmtId="2" fontId="5" fillId="33" borderId="25" xfId="0" applyNumberFormat="1" applyFont="1" applyFill="1" applyBorder="1" applyAlignment="1">
      <alignment horizontal="center"/>
    </xf>
    <xf numFmtId="2" fontId="4" fillId="33" borderId="0" xfId="0" applyNumberFormat="1" applyFont="1" applyFill="1" applyBorder="1" applyAlignment="1">
      <alignment horizontal="center"/>
    </xf>
    <xf numFmtId="1" fontId="4" fillId="33" borderId="0" xfId="0" applyNumberFormat="1" applyFont="1" applyFill="1" applyBorder="1" applyAlignment="1">
      <alignment horizontal="center"/>
    </xf>
    <xf numFmtId="0" fontId="4" fillId="33" borderId="0" xfId="0" applyNumberFormat="1" applyFont="1" applyFill="1" applyBorder="1" applyAlignment="1">
      <alignment horizontal="center"/>
    </xf>
    <xf numFmtId="2" fontId="5" fillId="33" borderId="0" xfId="0" applyNumberFormat="1" applyFont="1" applyFill="1" applyBorder="1" applyAlignment="1">
      <alignment horizontal="center"/>
    </xf>
    <xf numFmtId="2" fontId="5" fillId="33" borderId="22" xfId="0" applyNumberFormat="1" applyFont="1" applyFill="1" applyBorder="1" applyAlignment="1">
      <alignment horizontal="center"/>
    </xf>
    <xf numFmtId="0" fontId="0" fillId="0" borderId="21" xfId="0" applyFont="1" applyFill="1" applyBorder="1" applyAlignment="1">
      <alignment/>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Fill="1" applyBorder="1" applyAlignment="1">
      <alignment/>
    </xf>
    <xf numFmtId="0" fontId="0" fillId="0" borderId="2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4" xfId="0" applyFont="1" applyBorder="1" applyAlignment="1">
      <alignment horizontal="center" vertical="center" wrapText="1"/>
    </xf>
    <xf numFmtId="0" fontId="2" fillId="34" borderId="30" xfId="0" applyFont="1" applyFill="1" applyBorder="1" applyAlignment="1">
      <alignment/>
    </xf>
    <xf numFmtId="0" fontId="1" fillId="34" borderId="31" xfId="0" applyFont="1" applyFill="1" applyBorder="1" applyAlignment="1">
      <alignment/>
    </xf>
    <xf numFmtId="0" fontId="1" fillId="34" borderId="32" xfId="0" applyFont="1" applyFill="1" applyBorder="1" applyAlignment="1">
      <alignment/>
    </xf>
    <xf numFmtId="0" fontId="0" fillId="0" borderId="0" xfId="0" applyFont="1" applyBorder="1" applyAlignment="1">
      <alignment/>
    </xf>
    <xf numFmtId="0" fontId="25" fillId="0" borderId="0" xfId="53" applyBorder="1" applyAlignment="1" applyProtection="1">
      <alignment/>
      <protection/>
    </xf>
    <xf numFmtId="0" fontId="7" fillId="35" borderId="30" xfId="0" applyFont="1" applyFill="1" applyBorder="1" applyAlignment="1">
      <alignment/>
    </xf>
    <xf numFmtId="0" fontId="0" fillId="35" borderId="31" xfId="0" applyFont="1" applyFill="1" applyBorder="1" applyAlignment="1">
      <alignment/>
    </xf>
    <xf numFmtId="0" fontId="0" fillId="35" borderId="32" xfId="0" applyFont="1" applyFill="1" applyBorder="1" applyAlignment="1">
      <alignment/>
    </xf>
    <xf numFmtId="0" fontId="1" fillId="0" borderId="0" xfId="0" applyFont="1" applyBorder="1" applyAlignment="1">
      <alignment/>
    </xf>
    <xf numFmtId="0" fontId="0" fillId="0" borderId="0" xfId="0" applyFont="1" applyAlignment="1">
      <alignment horizontal="center"/>
    </xf>
    <xf numFmtId="0" fontId="0" fillId="0" borderId="0" xfId="0" applyFont="1" applyBorder="1" applyAlignment="1">
      <alignment horizontal="center"/>
    </xf>
    <xf numFmtId="0" fontId="0" fillId="0" borderId="0" xfId="0" applyBorder="1" applyAlignment="1">
      <alignment/>
    </xf>
    <xf numFmtId="0" fontId="0" fillId="0" borderId="0" xfId="0" applyFill="1" applyAlignment="1">
      <alignment/>
    </xf>
    <xf numFmtId="0" fontId="2" fillId="35" borderId="33" xfId="0" applyFont="1" applyFill="1" applyBorder="1" applyAlignment="1">
      <alignment/>
    </xf>
    <xf numFmtId="0" fontId="1" fillId="35" borderId="34" xfId="0" applyFont="1" applyFill="1" applyBorder="1" applyAlignment="1">
      <alignment/>
    </xf>
    <xf numFmtId="0" fontId="0" fillId="35" borderId="34" xfId="0" applyFill="1" applyBorder="1" applyAlignment="1">
      <alignment/>
    </xf>
    <xf numFmtId="0" fontId="1" fillId="35" borderId="35" xfId="0" applyFont="1" applyFill="1" applyBorder="1" applyAlignment="1">
      <alignment/>
    </xf>
    <xf numFmtId="0" fontId="0" fillId="0" borderId="22" xfId="0" applyBorder="1" applyAlignment="1">
      <alignment/>
    </xf>
    <xf numFmtId="0" fontId="10" fillId="0" borderId="0" xfId="0" applyFont="1" applyBorder="1" applyAlignment="1">
      <alignment horizontal="center" vertical="center"/>
    </xf>
    <xf numFmtId="0" fontId="0" fillId="0" borderId="0" xfId="0" applyFont="1" applyBorder="1" applyAlignment="1">
      <alignment horizontal="right"/>
    </xf>
    <xf numFmtId="0" fontId="0" fillId="32" borderId="11" xfId="0" applyFont="1" applyFill="1" applyBorder="1" applyAlignment="1">
      <alignment/>
    </xf>
    <xf numFmtId="0" fontId="0" fillId="32" borderId="12" xfId="0" applyFont="1" applyFill="1" applyBorder="1" applyAlignment="1">
      <alignment/>
    </xf>
    <xf numFmtId="0" fontId="0" fillId="32" borderId="16" xfId="0" applyFont="1" applyFill="1" applyBorder="1" applyAlignment="1">
      <alignment/>
    </xf>
    <xf numFmtId="1" fontId="17" fillId="4" borderId="10" xfId="0" applyNumberFormat="1" applyFont="1" applyFill="1" applyBorder="1" applyAlignment="1">
      <alignment horizontal="center"/>
    </xf>
    <xf numFmtId="2" fontId="4" fillId="0" borderId="10" xfId="0" applyNumberFormat="1" applyFont="1" applyBorder="1" applyAlignment="1">
      <alignment horizontal="center"/>
    </xf>
    <xf numFmtId="2" fontId="13" fillId="0" borderId="10" xfId="0" applyNumberFormat="1" applyFont="1" applyBorder="1" applyAlignment="1">
      <alignment horizontal="center"/>
    </xf>
    <xf numFmtId="0" fontId="0" fillId="0" borderId="0" xfId="0" applyFill="1" applyBorder="1" applyAlignment="1">
      <alignment/>
    </xf>
    <xf numFmtId="0" fontId="16" fillId="0" borderId="0" xfId="0" applyFont="1" applyFill="1" applyBorder="1" applyAlignment="1">
      <alignment/>
    </xf>
    <xf numFmtId="0" fontId="16" fillId="0" borderId="21" xfId="0" applyFont="1" applyBorder="1" applyAlignment="1">
      <alignment/>
    </xf>
    <xf numFmtId="0" fontId="6" fillId="0" borderId="0" xfId="0" applyFont="1" applyAlignment="1">
      <alignment horizontal="center"/>
    </xf>
    <xf numFmtId="172" fontId="73" fillId="0" borderId="16" xfId="0" applyNumberFormat="1" applyFont="1" applyFill="1" applyBorder="1" applyAlignment="1">
      <alignment horizontal="center"/>
    </xf>
    <xf numFmtId="172" fontId="73" fillId="0" borderId="10" xfId="0" applyNumberFormat="1" applyFont="1" applyFill="1" applyBorder="1" applyAlignment="1">
      <alignment horizontal="center"/>
    </xf>
    <xf numFmtId="173" fontId="0" fillId="36" borderId="10" xfId="0" applyNumberFormat="1" applyFont="1" applyFill="1" applyBorder="1" applyAlignment="1">
      <alignment horizontal="center"/>
    </xf>
    <xf numFmtId="2" fontId="73" fillId="0" borderId="27" xfId="0" applyNumberFormat="1" applyFont="1" applyFill="1" applyBorder="1" applyAlignment="1">
      <alignment horizontal="center"/>
    </xf>
    <xf numFmtId="2" fontId="73" fillId="0" borderId="29" xfId="0" applyNumberFormat="1" applyFont="1" applyFill="1" applyBorder="1" applyAlignment="1">
      <alignment horizontal="center"/>
    </xf>
    <xf numFmtId="2" fontId="73" fillId="0" borderId="10" xfId="0" applyNumberFormat="1" applyFont="1" applyFill="1" applyBorder="1" applyAlignment="1">
      <alignment horizontal="center"/>
    </xf>
    <xf numFmtId="2" fontId="73" fillId="0" borderId="14" xfId="0" applyNumberFormat="1" applyFont="1" applyFill="1" applyBorder="1" applyAlignment="1">
      <alignment horizontal="center"/>
    </xf>
    <xf numFmtId="2" fontId="73" fillId="0" borderId="15" xfId="0" applyNumberFormat="1" applyFont="1" applyFill="1" applyBorder="1" applyAlignment="1">
      <alignment horizontal="center"/>
    </xf>
    <xf numFmtId="0" fontId="0" fillId="0" borderId="0" xfId="0" applyFont="1" applyFill="1" applyBorder="1" applyAlignment="1">
      <alignment horizontal="right"/>
    </xf>
    <xf numFmtId="0" fontId="74" fillId="0" borderId="10" xfId="0" applyFont="1" applyBorder="1" applyAlignment="1">
      <alignment horizontal="center"/>
    </xf>
    <xf numFmtId="0" fontId="75" fillId="0" borderId="28" xfId="0" applyFont="1" applyFill="1" applyBorder="1" applyAlignment="1">
      <alignment horizontal="center" vertical="center" wrapText="1"/>
    </xf>
    <xf numFmtId="0" fontId="76" fillId="33" borderId="36" xfId="0" applyFont="1" applyFill="1" applyBorder="1" applyAlignment="1">
      <alignment/>
    </xf>
    <xf numFmtId="0" fontId="76" fillId="33" borderId="28" xfId="0" applyFont="1" applyFill="1" applyBorder="1" applyAlignment="1">
      <alignment/>
    </xf>
    <xf numFmtId="0" fontId="7" fillId="0" borderId="0" xfId="0" applyFont="1" applyBorder="1" applyAlignment="1">
      <alignment horizontal="right"/>
    </xf>
    <xf numFmtId="0" fontId="74" fillId="0" borderId="0" xfId="0" applyFont="1" applyBorder="1" applyAlignment="1">
      <alignment horizontal="left"/>
    </xf>
    <xf numFmtId="0" fontId="77" fillId="37" borderId="28" xfId="0" applyFont="1" applyFill="1" applyBorder="1" applyAlignment="1">
      <alignment horizontal="left"/>
    </xf>
    <xf numFmtId="0" fontId="0" fillId="37" borderId="0" xfId="0" applyFont="1" applyFill="1" applyBorder="1" applyAlignment="1">
      <alignment/>
    </xf>
    <xf numFmtId="1" fontId="0" fillId="37" borderId="0" xfId="0" applyNumberFormat="1" applyFont="1" applyFill="1" applyBorder="1" applyAlignment="1">
      <alignment/>
    </xf>
    <xf numFmtId="0" fontId="0" fillId="37" borderId="0" xfId="0" applyFont="1" applyFill="1" applyBorder="1" applyAlignment="1">
      <alignment horizontal="left"/>
    </xf>
    <xf numFmtId="1" fontId="0" fillId="37" borderId="0" xfId="0" applyNumberFormat="1" applyFont="1" applyFill="1" applyBorder="1" applyAlignment="1">
      <alignment/>
    </xf>
    <xf numFmtId="1" fontId="17" fillId="4" borderId="37" xfId="0" applyNumberFormat="1" applyFont="1" applyFill="1" applyBorder="1" applyAlignment="1">
      <alignment horizontal="center"/>
    </xf>
    <xf numFmtId="0" fontId="77" fillId="37" borderId="36" xfId="0" applyFont="1" applyFill="1" applyBorder="1" applyAlignment="1">
      <alignment horizontal="left"/>
    </xf>
    <xf numFmtId="0" fontId="0" fillId="37" borderId="24" xfId="0" applyFont="1" applyFill="1" applyBorder="1" applyAlignment="1">
      <alignment/>
    </xf>
    <xf numFmtId="1" fontId="0" fillId="37" borderId="24" xfId="0" applyNumberFormat="1" applyFont="1" applyFill="1" applyBorder="1" applyAlignment="1">
      <alignment/>
    </xf>
    <xf numFmtId="0" fontId="0" fillId="37" borderId="24" xfId="0" applyFont="1" applyFill="1" applyBorder="1" applyAlignment="1">
      <alignment horizontal="left"/>
    </xf>
    <xf numFmtId="1" fontId="0" fillId="37" borderId="24" xfId="0" applyNumberFormat="1" applyFont="1" applyFill="1" applyBorder="1" applyAlignment="1">
      <alignment/>
    </xf>
    <xf numFmtId="1" fontId="75" fillId="0" borderId="0" xfId="0" applyNumberFormat="1" applyFont="1" applyBorder="1" applyAlignment="1">
      <alignment horizontal="center"/>
    </xf>
    <xf numFmtId="0" fontId="30" fillId="0" borderId="0" xfId="0" applyFont="1" applyBorder="1" applyAlignment="1">
      <alignment/>
    </xf>
    <xf numFmtId="172" fontId="4" fillId="0" borderId="16" xfId="0" applyNumberFormat="1" applyFont="1" applyBorder="1" applyAlignment="1">
      <alignment horizontal="center"/>
    </xf>
    <xf numFmtId="0" fontId="78" fillId="32" borderId="11" xfId="0" applyFont="1" applyFill="1" applyBorder="1" applyAlignment="1">
      <alignment horizontal="center"/>
    </xf>
    <xf numFmtId="0" fontId="78" fillId="32" borderId="16" xfId="0" applyFont="1" applyFill="1" applyBorder="1" applyAlignment="1">
      <alignment horizontal="center"/>
    </xf>
    <xf numFmtId="1" fontId="4" fillId="0" borderId="10" xfId="0" applyNumberFormat="1" applyFont="1" applyBorder="1" applyAlignment="1">
      <alignment horizontal="center"/>
    </xf>
    <xf numFmtId="0" fontId="0" fillId="0" borderId="0" xfId="0" applyAlignment="1">
      <alignment horizontal="center"/>
    </xf>
    <xf numFmtId="172" fontId="17" fillId="4" borderId="18" xfId="0" applyNumberFormat="1" applyFont="1" applyFill="1" applyBorder="1" applyAlignment="1">
      <alignment horizontal="right"/>
    </xf>
    <xf numFmtId="1" fontId="14" fillId="4" borderId="13" xfId="0" applyNumberFormat="1" applyFont="1" applyFill="1" applyBorder="1" applyAlignment="1">
      <alignment wrapText="1"/>
    </xf>
    <xf numFmtId="0" fontId="79" fillId="0" borderId="0" xfId="0" applyFont="1" applyFill="1" applyBorder="1" applyAlignment="1">
      <alignment/>
    </xf>
    <xf numFmtId="0" fontId="80" fillId="0" borderId="0" xfId="0" applyFont="1" applyFill="1" applyBorder="1" applyAlignment="1">
      <alignment/>
    </xf>
    <xf numFmtId="0" fontId="0" fillId="32" borderId="11" xfId="0" applyFont="1" applyFill="1" applyBorder="1" applyAlignment="1">
      <alignment horizontal="center" wrapText="1"/>
    </xf>
    <xf numFmtId="0" fontId="0" fillId="32" borderId="12" xfId="0" applyFont="1" applyFill="1" applyBorder="1" applyAlignment="1">
      <alignment horizontal="center" wrapText="1"/>
    </xf>
    <xf numFmtId="0" fontId="0" fillId="32" borderId="16" xfId="0" applyFont="1" applyFill="1" applyBorder="1" applyAlignment="1">
      <alignment horizontal="center" wrapText="1"/>
    </xf>
    <xf numFmtId="0" fontId="0" fillId="32" borderId="10" xfId="0" applyFont="1" applyFill="1" applyBorder="1" applyAlignment="1">
      <alignment horizontal="center" vertical="center" wrapText="1"/>
    </xf>
    <xf numFmtId="0" fontId="22" fillId="32" borderId="18" xfId="0" applyFont="1" applyFill="1" applyBorder="1" applyAlignment="1">
      <alignment horizontal="center" wrapText="1"/>
    </xf>
    <xf numFmtId="0" fontId="22" fillId="32" borderId="13" xfId="0" applyFont="1" applyFill="1" applyBorder="1" applyAlignment="1">
      <alignment horizontal="center" wrapText="1"/>
    </xf>
    <xf numFmtId="0" fontId="22" fillId="32" borderId="14" xfId="0" applyFont="1" applyFill="1" applyBorder="1" applyAlignment="1">
      <alignment horizontal="center" wrapText="1"/>
    </xf>
    <xf numFmtId="0" fontId="22" fillId="32" borderId="15" xfId="0" applyFont="1" applyFill="1" applyBorder="1" applyAlignment="1">
      <alignment horizontal="center" wrapText="1"/>
    </xf>
    <xf numFmtId="1" fontId="14" fillId="4" borderId="17" xfId="0" applyNumberFormat="1" applyFont="1" applyFill="1" applyBorder="1" applyAlignment="1">
      <alignment horizontal="center"/>
    </xf>
    <xf numFmtId="1" fontId="14" fillId="4" borderId="15" xfId="0" applyNumberFormat="1" applyFont="1" applyFill="1" applyBorder="1" applyAlignment="1">
      <alignment horizontal="center"/>
    </xf>
    <xf numFmtId="0" fontId="0" fillId="32" borderId="27" xfId="0" applyFill="1" applyBorder="1" applyAlignment="1">
      <alignment horizontal="center" wrapText="1"/>
    </xf>
    <xf numFmtId="0" fontId="0" fillId="32" borderId="28" xfId="0" applyFill="1" applyBorder="1" applyAlignment="1">
      <alignment horizontal="center" wrapText="1"/>
    </xf>
    <xf numFmtId="0" fontId="0" fillId="32" borderId="29" xfId="0" applyFill="1" applyBorder="1" applyAlignment="1">
      <alignment horizontal="center" wrapText="1"/>
    </xf>
    <xf numFmtId="0" fontId="20" fillId="32" borderId="18" xfId="0" applyFont="1" applyFill="1" applyBorder="1" applyAlignment="1">
      <alignment horizontal="center" wrapText="1"/>
    </xf>
    <xf numFmtId="0" fontId="20" fillId="32" borderId="13" xfId="0" applyFont="1" applyFill="1" applyBorder="1" applyAlignment="1">
      <alignment horizontal="center" wrapText="1"/>
    </xf>
    <xf numFmtId="0" fontId="20" fillId="32" borderId="14" xfId="0" applyFont="1" applyFill="1" applyBorder="1" applyAlignment="1">
      <alignment horizontal="center" wrapText="1"/>
    </xf>
    <xf numFmtId="0" fontId="20" fillId="32" borderId="15" xfId="0" applyFont="1" applyFill="1" applyBorder="1" applyAlignment="1">
      <alignment horizontal="center" wrapText="1"/>
    </xf>
    <xf numFmtId="0" fontId="24" fillId="32" borderId="18" xfId="0" applyFont="1" applyFill="1" applyBorder="1" applyAlignment="1">
      <alignment horizontal="center" wrapText="1"/>
    </xf>
    <xf numFmtId="0" fontId="24" fillId="32" borderId="13" xfId="0" applyFont="1" applyFill="1" applyBorder="1" applyAlignment="1">
      <alignment horizontal="center" wrapText="1"/>
    </xf>
    <xf numFmtId="0" fontId="24" fillId="32" borderId="14" xfId="0" applyFont="1" applyFill="1" applyBorder="1" applyAlignment="1">
      <alignment horizontal="center" wrapText="1"/>
    </xf>
    <xf numFmtId="0" fontId="24" fillId="32" borderId="15" xfId="0" applyFont="1" applyFill="1" applyBorder="1" applyAlignment="1">
      <alignment horizontal="center" wrapText="1"/>
    </xf>
    <xf numFmtId="0" fontId="14" fillId="38" borderId="18" xfId="0" applyFont="1" applyFill="1" applyBorder="1" applyAlignment="1">
      <alignment horizontal="center"/>
    </xf>
    <xf numFmtId="0" fontId="14" fillId="38" borderId="13" xfId="0" applyFont="1" applyFill="1" applyBorder="1" applyAlignment="1">
      <alignment horizontal="center"/>
    </xf>
    <xf numFmtId="0" fontId="17" fillId="38" borderId="18" xfId="0" applyFont="1" applyFill="1" applyBorder="1" applyAlignment="1">
      <alignment horizontal="center"/>
    </xf>
    <xf numFmtId="0" fontId="17" fillId="38" borderId="19" xfId="0" applyFont="1" applyFill="1" applyBorder="1" applyAlignment="1">
      <alignment horizontal="center"/>
    </xf>
    <xf numFmtId="0" fontId="14" fillId="4" borderId="27" xfId="0" applyFont="1" applyFill="1" applyBorder="1" applyAlignment="1">
      <alignment horizontal="right"/>
    </xf>
    <xf numFmtId="0" fontId="14" fillId="4" borderId="28" xfId="0" applyFont="1" applyFill="1" applyBorder="1" applyAlignment="1">
      <alignment horizontal="right"/>
    </xf>
    <xf numFmtId="0" fontId="14" fillId="4" borderId="29" xfId="0" applyFont="1" applyFill="1" applyBorder="1" applyAlignment="1">
      <alignment horizontal="right"/>
    </xf>
    <xf numFmtId="0" fontId="12" fillId="32" borderId="27" xfId="0" applyFont="1" applyFill="1" applyBorder="1" applyAlignment="1">
      <alignment horizontal="center" wrapText="1"/>
    </xf>
    <xf numFmtId="0" fontId="12" fillId="32" borderId="29" xfId="0" applyFont="1" applyFill="1" applyBorder="1" applyAlignment="1">
      <alignment horizontal="center" wrapText="1"/>
    </xf>
    <xf numFmtId="0" fontId="12" fillId="32" borderId="27" xfId="0" applyFont="1" applyFill="1" applyBorder="1" applyAlignment="1">
      <alignment horizontal="center"/>
    </xf>
    <xf numFmtId="0" fontId="12" fillId="32" borderId="28" xfId="0" applyFont="1" applyFill="1" applyBorder="1" applyAlignment="1">
      <alignment horizontal="center"/>
    </xf>
    <xf numFmtId="0" fontId="12" fillId="32" borderId="29" xfId="0" applyFont="1" applyFill="1" applyBorder="1" applyAlignment="1">
      <alignment horizontal="center"/>
    </xf>
    <xf numFmtId="0" fontId="0" fillId="32" borderId="13" xfId="0" applyFont="1" applyFill="1" applyBorder="1" applyAlignment="1">
      <alignment horizontal="center" wrapText="1"/>
    </xf>
    <xf numFmtId="0" fontId="0" fillId="32" borderId="26" xfId="0" applyFont="1" applyFill="1" applyBorder="1" applyAlignment="1">
      <alignment horizontal="center" wrapText="1"/>
    </xf>
    <xf numFmtId="0" fontId="0" fillId="32" borderId="15" xfId="0" applyFont="1" applyFill="1" applyBorder="1" applyAlignment="1">
      <alignment horizontal="center" wrapText="1"/>
    </xf>
    <xf numFmtId="0" fontId="12" fillId="32" borderId="19" xfId="0" applyFont="1" applyFill="1" applyBorder="1" applyAlignment="1">
      <alignment horizontal="center" wrapText="1"/>
    </xf>
    <xf numFmtId="0" fontId="12" fillId="32" borderId="13" xfId="0" applyFont="1" applyFill="1" applyBorder="1" applyAlignment="1">
      <alignment horizontal="center" wrapText="1"/>
    </xf>
    <xf numFmtId="0" fontId="12" fillId="32" borderId="17" xfId="0" applyFont="1" applyFill="1" applyBorder="1" applyAlignment="1">
      <alignment horizontal="center" wrapText="1"/>
    </xf>
    <xf numFmtId="0" fontId="12" fillId="32" borderId="15" xfId="0" applyFont="1" applyFill="1" applyBorder="1" applyAlignment="1">
      <alignment horizontal="center" wrapText="1"/>
    </xf>
    <xf numFmtId="0" fontId="0" fillId="32" borderId="18" xfId="0" applyFont="1" applyFill="1" applyBorder="1" applyAlignment="1">
      <alignment horizontal="center" wrapText="1"/>
    </xf>
    <xf numFmtId="0" fontId="0" fillId="32" borderId="20" xfId="0" applyFont="1" applyFill="1" applyBorder="1" applyAlignment="1">
      <alignment horizontal="center" wrapText="1"/>
    </xf>
    <xf numFmtId="0" fontId="0" fillId="32" borderId="14" xfId="0" applyFont="1" applyFill="1" applyBorder="1" applyAlignment="1">
      <alignment horizontal="center" wrapText="1"/>
    </xf>
    <xf numFmtId="0" fontId="0" fillId="32" borderId="27" xfId="0" applyFont="1" applyFill="1" applyBorder="1" applyAlignment="1">
      <alignment horizontal="center"/>
    </xf>
    <xf numFmtId="0" fontId="0" fillId="32" borderId="28" xfId="0" applyFont="1" applyFill="1" applyBorder="1" applyAlignment="1">
      <alignment horizontal="center"/>
    </xf>
    <xf numFmtId="0" fontId="0" fillId="32" borderId="29" xfId="0" applyFont="1" applyFill="1" applyBorder="1" applyAlignment="1">
      <alignment horizontal="center"/>
    </xf>
    <xf numFmtId="0" fontId="12" fillId="36" borderId="17" xfId="0" applyFont="1" applyFill="1" applyBorder="1" applyAlignment="1">
      <alignment horizontal="center"/>
    </xf>
    <xf numFmtId="0" fontId="17" fillId="38" borderId="27" xfId="0" applyFont="1" applyFill="1" applyBorder="1" applyAlignment="1">
      <alignment horizontal="center"/>
    </xf>
    <xf numFmtId="0" fontId="17" fillId="38" borderId="29" xfId="0" applyFont="1" applyFill="1" applyBorder="1" applyAlignment="1">
      <alignment horizontal="center"/>
    </xf>
    <xf numFmtId="0" fontId="17" fillId="38" borderId="28" xfId="0" applyFont="1" applyFill="1" applyBorder="1" applyAlignment="1">
      <alignment horizontal="center"/>
    </xf>
    <xf numFmtId="0" fontId="0" fillId="32" borderId="13" xfId="0" applyFont="1" applyFill="1" applyBorder="1" applyAlignment="1">
      <alignment/>
    </xf>
    <xf numFmtId="0" fontId="0" fillId="32" borderId="14" xfId="0" applyFont="1" applyFill="1" applyBorder="1" applyAlignment="1">
      <alignment/>
    </xf>
    <xf numFmtId="0" fontId="0" fillId="32" borderId="15" xfId="0" applyFont="1" applyFill="1" applyBorder="1" applyAlignment="1">
      <alignment/>
    </xf>
    <xf numFmtId="2" fontId="0" fillId="32" borderId="27" xfId="0" applyNumberFormat="1" applyFont="1" applyFill="1" applyBorder="1" applyAlignment="1">
      <alignment horizontal="center"/>
    </xf>
    <xf numFmtId="2" fontId="0" fillId="32" borderId="28" xfId="0" applyNumberFormat="1" applyFont="1" applyFill="1" applyBorder="1" applyAlignment="1">
      <alignment horizontal="center"/>
    </xf>
    <xf numFmtId="2" fontId="0" fillId="32" borderId="29" xfId="0" applyNumberFormat="1" applyFont="1" applyFill="1" applyBorder="1" applyAlignment="1">
      <alignment horizontal="center"/>
    </xf>
    <xf numFmtId="0" fontId="12" fillId="32" borderId="18" xfId="0" applyFont="1" applyFill="1" applyBorder="1" applyAlignment="1">
      <alignment horizontal="center" wrapText="1"/>
    </xf>
    <xf numFmtId="0" fontId="12" fillId="32" borderId="14" xfId="0" applyFont="1" applyFill="1" applyBorder="1" applyAlignment="1">
      <alignment horizontal="center" wrapText="1"/>
    </xf>
    <xf numFmtId="1" fontId="14" fillId="4" borderId="14" xfId="0" applyNumberFormat="1" applyFont="1" applyFill="1" applyBorder="1" applyAlignment="1">
      <alignment horizontal="center"/>
    </xf>
    <xf numFmtId="0" fontId="25" fillId="0" borderId="21" xfId="53" applyBorder="1" applyAlignment="1" applyProtection="1">
      <alignment horizontal="left"/>
      <protection/>
    </xf>
    <xf numFmtId="0" fontId="25" fillId="0" borderId="0" xfId="53" applyBorder="1" applyAlignment="1" applyProtection="1">
      <alignment horizontal="left"/>
      <protection/>
    </xf>
    <xf numFmtId="0" fontId="25" fillId="0" borderId="21" xfId="53" applyFont="1" applyBorder="1" applyAlignment="1" applyProtection="1">
      <alignment horizontal="left"/>
      <protection/>
    </xf>
    <xf numFmtId="0" fontId="25" fillId="0" borderId="0" xfId="53" applyFont="1" applyBorder="1" applyAlignment="1" applyProtection="1">
      <alignment horizontal="left"/>
      <protection/>
    </xf>
    <xf numFmtId="0" fontId="0" fillId="32" borderId="37" xfId="0" applyFont="1" applyFill="1" applyBorder="1" applyAlignment="1">
      <alignment horizontal="center" vertical="center" wrapText="1"/>
    </xf>
    <xf numFmtId="0" fontId="0" fillId="0" borderId="20" xfId="0" applyFont="1" applyBorder="1" applyAlignment="1">
      <alignment horizontal="left"/>
    </xf>
    <xf numFmtId="0" fontId="0" fillId="0" borderId="0" xfId="0" applyFont="1" applyBorder="1" applyAlignment="1">
      <alignment horizontal="left"/>
    </xf>
    <xf numFmtId="0" fontId="7" fillId="0" borderId="21" xfId="0" applyFont="1" applyBorder="1" applyAlignment="1">
      <alignment horizontal="left"/>
    </xf>
    <xf numFmtId="0" fontId="7" fillId="0" borderId="0" xfId="0" applyFont="1" applyBorder="1" applyAlignment="1">
      <alignment horizontal="left"/>
    </xf>
    <xf numFmtId="0" fontId="0" fillId="0" borderId="0" xfId="0" applyAlignment="1">
      <alignment/>
    </xf>
    <xf numFmtId="0" fontId="12" fillId="36" borderId="27" xfId="0" applyFont="1" applyFill="1" applyBorder="1" applyAlignment="1">
      <alignment horizontal="center"/>
    </xf>
    <xf numFmtId="0" fontId="12" fillId="36" borderId="28" xfId="0" applyFont="1" applyFill="1" applyBorder="1" applyAlignment="1">
      <alignment horizontal="center"/>
    </xf>
    <xf numFmtId="0" fontId="12" fillId="36" borderId="29" xfId="0" applyFont="1" applyFill="1" applyBorder="1" applyAlignment="1">
      <alignment horizontal="center"/>
    </xf>
    <xf numFmtId="0" fontId="0" fillId="32" borderId="27" xfId="0" applyFont="1" applyFill="1" applyBorder="1" applyAlignment="1">
      <alignment horizontal="center" wrapText="1"/>
    </xf>
    <xf numFmtId="0" fontId="81" fillId="32" borderId="18" xfId="0" applyFont="1" applyFill="1" applyBorder="1" applyAlignment="1">
      <alignment horizontal="center" wrapText="1"/>
    </xf>
    <xf numFmtId="0" fontId="81" fillId="32" borderId="13" xfId="0" applyFont="1" applyFill="1" applyBorder="1" applyAlignment="1">
      <alignment horizontal="center" wrapText="1"/>
    </xf>
    <xf numFmtId="0" fontId="81" fillId="32" borderId="14" xfId="0" applyFont="1" applyFill="1" applyBorder="1" applyAlignment="1">
      <alignment horizontal="center" wrapText="1"/>
    </xf>
    <xf numFmtId="0" fontId="81" fillId="32" borderId="15" xfId="0" applyFont="1" applyFill="1" applyBorder="1" applyAlignment="1">
      <alignment horizontal="center" wrapText="1"/>
    </xf>
    <xf numFmtId="0" fontId="35" fillId="0" borderId="24"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rimaries">
      <a:dk1>
        <a:sysClr val="windowText" lastClr="000000"/>
      </a:dk1>
      <a:lt1>
        <a:sysClr val="window" lastClr="FFFFFF"/>
      </a:lt1>
      <a:dk2>
        <a:srgbClr val="1F497D"/>
      </a:dk2>
      <a:lt2>
        <a:srgbClr val="EEECE1"/>
      </a:lt2>
      <a:accent1>
        <a:srgbClr val="FF0000"/>
      </a:accent1>
      <a:accent2>
        <a:srgbClr val="FFC000"/>
      </a:accent2>
      <a:accent3>
        <a:srgbClr val="FFFF00"/>
      </a:accent3>
      <a:accent4>
        <a:srgbClr val="92D050"/>
      </a:accent4>
      <a:accent5>
        <a:srgbClr val="0070C0"/>
      </a:accent5>
      <a:accent6>
        <a:srgbClr val="7030A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G207"/>
  <sheetViews>
    <sheetView tabSelected="1" zoomScale="130" zoomScaleNormal="130" zoomScalePageLayoutView="0" workbookViewId="0" topLeftCell="A1">
      <selection activeCell="A1" sqref="A1"/>
    </sheetView>
  </sheetViews>
  <sheetFormatPr defaultColWidth="11.421875" defaultRowHeight="12.75"/>
  <cols>
    <col min="1" max="1" width="2.00390625" style="1" customWidth="1"/>
    <col min="2" max="2" width="2.7109375" style="1" customWidth="1"/>
    <col min="3" max="6" width="8.7109375" style="1" customWidth="1"/>
    <col min="7" max="7" width="10.57421875" style="1" customWidth="1"/>
    <col min="8" max="8" width="10.140625" style="1" customWidth="1"/>
    <col min="9" max="9" width="8.57421875" style="1" customWidth="1"/>
    <col min="10" max="10" width="9.00390625" style="1" customWidth="1"/>
    <col min="11" max="12" width="9.140625" style="1" customWidth="1"/>
    <col min="13" max="13" width="8.421875" style="1" customWidth="1"/>
    <col min="14" max="16" width="7.7109375" style="1" customWidth="1"/>
    <col min="17" max="18" width="7.7109375" style="2" customWidth="1"/>
    <col min="19" max="19" width="11.8515625" style="1" customWidth="1"/>
    <col min="20" max="20" width="3.00390625" style="1" customWidth="1"/>
    <col min="21" max="21" width="8.140625" style="1" customWidth="1"/>
    <col min="22" max="22" width="7.57421875" style="1" customWidth="1"/>
    <col min="23" max="23" width="6.8515625" style="1" customWidth="1"/>
    <col min="24" max="26" width="7.140625" style="1" customWidth="1"/>
    <col min="27" max="27" width="5.421875" style="1" customWidth="1"/>
    <col min="28" max="29" width="8.421875" style="1" customWidth="1"/>
    <col min="30" max="30" width="5.7109375" style="1" customWidth="1"/>
    <col min="31" max="31" width="1.421875" style="1" customWidth="1"/>
    <col min="32" max="32" width="7.28125" style="1" customWidth="1"/>
    <col min="33" max="33" width="7.00390625" style="1" customWidth="1"/>
    <col min="34" max="34" width="6.421875" style="1" customWidth="1"/>
    <col min="35" max="16384" width="11.421875" style="1" customWidth="1"/>
  </cols>
  <sheetData>
    <row r="1" ht="9.75" customHeight="1" thickBot="1"/>
    <row r="2" spans="2:19" s="139" customFormat="1" ht="15.75" customHeight="1" thickBot="1">
      <c r="B2" s="144" t="s">
        <v>149</v>
      </c>
      <c r="C2" s="145"/>
      <c r="D2" s="145"/>
      <c r="E2" s="146"/>
      <c r="F2" s="146"/>
      <c r="G2" s="146"/>
      <c r="H2" s="146"/>
      <c r="I2" s="146"/>
      <c r="J2" s="146"/>
      <c r="K2" s="145"/>
      <c r="L2" s="145"/>
      <c r="M2" s="145"/>
      <c r="N2" s="145"/>
      <c r="O2" s="145"/>
      <c r="P2" s="145"/>
      <c r="Q2" s="145"/>
      <c r="R2" s="145"/>
      <c r="S2" s="147"/>
    </row>
    <row r="3" spans="2:19" ht="12.75" customHeight="1">
      <c r="B3" s="264" t="s">
        <v>92</v>
      </c>
      <c r="C3" s="265"/>
      <c r="D3" s="265"/>
      <c r="E3" s="265"/>
      <c r="F3" s="157"/>
      <c r="G3" s="157"/>
      <c r="H3" s="2"/>
      <c r="I3" s="2"/>
      <c r="J3" s="2"/>
      <c r="K3" s="2"/>
      <c r="L3" s="2"/>
      <c r="M3" s="2"/>
      <c r="N3" s="2"/>
      <c r="O3" s="2"/>
      <c r="P3" s="2"/>
      <c r="S3" s="75"/>
    </row>
    <row r="4" spans="2:19" ht="12.75">
      <c r="B4" s="264" t="s">
        <v>93</v>
      </c>
      <c r="C4" s="266"/>
      <c r="D4" s="266"/>
      <c r="E4" s="266"/>
      <c r="F4" s="140">
        <v>2022</v>
      </c>
      <c r="G4" s="140">
        <v>2020</v>
      </c>
      <c r="H4" s="193">
        <v>2019</v>
      </c>
      <c r="I4" s="193">
        <v>2018</v>
      </c>
      <c r="J4" s="193">
        <v>2016</v>
      </c>
      <c r="K4" s="140">
        <v>2012</v>
      </c>
      <c r="L4" s="140">
        <v>2008</v>
      </c>
      <c r="M4" s="141">
        <v>2007</v>
      </c>
      <c r="N4" s="2"/>
      <c r="O4" s="2"/>
      <c r="P4" s="2"/>
      <c r="S4" s="75"/>
    </row>
    <row r="5" spans="2:19" ht="6" customHeight="1" thickBot="1">
      <c r="B5" s="100"/>
      <c r="C5" s="101"/>
      <c r="D5" s="101"/>
      <c r="E5" s="101"/>
      <c r="F5" s="101"/>
      <c r="G5" s="101"/>
      <c r="H5" s="101"/>
      <c r="I5" s="101"/>
      <c r="J5" s="101"/>
      <c r="K5" s="101"/>
      <c r="L5" s="101"/>
      <c r="M5" s="101"/>
      <c r="N5" s="101"/>
      <c r="O5" s="101"/>
      <c r="P5" s="101"/>
      <c r="Q5" s="101"/>
      <c r="R5" s="101"/>
      <c r="S5" s="102"/>
    </row>
    <row r="6" spans="2:19" ht="12.75">
      <c r="B6" s="136" t="s">
        <v>63</v>
      </c>
      <c r="C6" s="137"/>
      <c r="D6" s="137"/>
      <c r="E6" s="137"/>
      <c r="F6" s="137"/>
      <c r="G6" s="137"/>
      <c r="H6" s="137"/>
      <c r="I6" s="137"/>
      <c r="J6" s="137"/>
      <c r="K6" s="137"/>
      <c r="L6" s="137"/>
      <c r="M6" s="137"/>
      <c r="N6" s="137"/>
      <c r="O6" s="137"/>
      <c r="P6" s="137"/>
      <c r="Q6" s="137"/>
      <c r="R6" s="137"/>
      <c r="S6" s="138"/>
    </row>
    <row r="7" spans="2:19" ht="12.75">
      <c r="B7" s="74" t="s">
        <v>150</v>
      </c>
      <c r="C7" s="2"/>
      <c r="D7" s="2"/>
      <c r="E7" s="2"/>
      <c r="F7" s="2"/>
      <c r="G7" s="2"/>
      <c r="H7" s="2"/>
      <c r="I7" s="2"/>
      <c r="J7" s="2"/>
      <c r="K7" s="2"/>
      <c r="L7" s="2"/>
      <c r="M7" s="2"/>
      <c r="N7" s="2"/>
      <c r="O7" s="2"/>
      <c r="P7" s="2"/>
      <c r="S7" s="75"/>
    </row>
    <row r="8" spans="2:19" ht="12.75">
      <c r="B8" s="74"/>
      <c r="C8" s="2" t="s">
        <v>145</v>
      </c>
      <c r="D8" s="2"/>
      <c r="E8" s="2"/>
      <c r="F8" s="2"/>
      <c r="G8" s="2"/>
      <c r="H8" s="2"/>
      <c r="I8" s="2"/>
      <c r="J8" s="2"/>
      <c r="K8" s="2"/>
      <c r="L8" s="2"/>
      <c r="M8" s="2"/>
      <c r="N8" s="2"/>
      <c r="O8" s="2"/>
      <c r="P8" s="2"/>
      <c r="S8" s="75"/>
    </row>
    <row r="9" spans="2:19" ht="12.75">
      <c r="B9" s="107"/>
      <c r="C9" s="2" t="s">
        <v>156</v>
      </c>
      <c r="D9" s="2"/>
      <c r="E9" s="2"/>
      <c r="F9" s="2"/>
      <c r="G9" s="2"/>
      <c r="H9" s="2"/>
      <c r="I9" s="2"/>
      <c r="J9" s="2"/>
      <c r="K9" s="2"/>
      <c r="L9" s="2"/>
      <c r="M9" s="2"/>
      <c r="N9" s="2"/>
      <c r="O9" s="2"/>
      <c r="P9" s="2"/>
      <c r="S9" s="75"/>
    </row>
    <row r="10" spans="2:19" ht="12.75">
      <c r="B10" s="107" t="s">
        <v>157</v>
      </c>
      <c r="C10" s="2"/>
      <c r="D10" s="2"/>
      <c r="E10" s="2"/>
      <c r="F10" s="2"/>
      <c r="G10" s="2"/>
      <c r="H10" s="2"/>
      <c r="I10" s="2"/>
      <c r="J10" s="2"/>
      <c r="K10" s="2"/>
      <c r="L10" s="2"/>
      <c r="M10" s="2"/>
      <c r="N10" s="2"/>
      <c r="O10" s="2"/>
      <c r="P10" s="2"/>
      <c r="S10" s="75"/>
    </row>
    <row r="11" spans="2:19" ht="12.75">
      <c r="B11" s="107"/>
      <c r="C11" s="2" t="s">
        <v>109</v>
      </c>
      <c r="D11" s="2"/>
      <c r="E11" s="2"/>
      <c r="F11" s="2"/>
      <c r="G11" s="2"/>
      <c r="H11" s="2"/>
      <c r="I11" s="2"/>
      <c r="J11" s="2"/>
      <c r="K11" s="2"/>
      <c r="L11" s="2"/>
      <c r="M11" s="2"/>
      <c r="N11" s="2"/>
      <c r="O11" s="2"/>
      <c r="P11" s="2"/>
      <c r="S11" s="75"/>
    </row>
    <row r="12" spans="2:19" ht="12.75">
      <c r="B12" s="257" t="s">
        <v>80</v>
      </c>
      <c r="C12" s="258"/>
      <c r="D12" s="258"/>
      <c r="E12" s="258"/>
      <c r="F12" s="258"/>
      <c r="G12" s="258"/>
      <c r="H12" s="258"/>
      <c r="I12" s="135"/>
      <c r="J12" s="135"/>
      <c r="K12" s="135"/>
      <c r="L12" s="2"/>
      <c r="M12" s="2"/>
      <c r="N12" s="2"/>
      <c r="O12" s="2"/>
      <c r="P12" s="2"/>
      <c r="S12" s="75"/>
    </row>
    <row r="13" spans="2:19" ht="12.75">
      <c r="B13" s="259" t="s">
        <v>81</v>
      </c>
      <c r="C13" s="260"/>
      <c r="D13" s="260"/>
      <c r="E13" s="260"/>
      <c r="F13" s="260"/>
      <c r="G13" s="260"/>
      <c r="H13" s="260"/>
      <c r="I13" s="260"/>
      <c r="J13" s="260"/>
      <c r="K13" s="260"/>
      <c r="L13" s="2"/>
      <c r="M13" s="2"/>
      <c r="N13" s="2"/>
      <c r="O13" s="2"/>
      <c r="P13" s="2"/>
      <c r="S13" s="75"/>
    </row>
    <row r="14" spans="2:19" ht="12.75">
      <c r="B14" s="257" t="s">
        <v>84</v>
      </c>
      <c r="C14" s="258"/>
      <c r="D14" s="258"/>
      <c r="E14" s="258"/>
      <c r="F14" s="258"/>
      <c r="G14" s="258"/>
      <c r="H14" s="258"/>
      <c r="I14" s="135"/>
      <c r="J14" s="135"/>
      <c r="K14" s="134"/>
      <c r="L14" s="2"/>
      <c r="M14" s="2"/>
      <c r="N14" s="2"/>
      <c r="O14" s="2"/>
      <c r="P14" s="2"/>
      <c r="S14" s="75"/>
    </row>
    <row r="15" spans="2:19" ht="12.75">
      <c r="B15" s="259" t="s">
        <v>85</v>
      </c>
      <c r="C15" s="258"/>
      <c r="D15" s="258"/>
      <c r="E15" s="258"/>
      <c r="F15" s="134"/>
      <c r="G15" s="134"/>
      <c r="H15" s="134"/>
      <c r="I15" s="134"/>
      <c r="J15" s="134"/>
      <c r="K15" s="134"/>
      <c r="L15" s="2"/>
      <c r="M15" s="2"/>
      <c r="N15" s="2"/>
      <c r="O15" s="2"/>
      <c r="P15" s="2"/>
      <c r="S15" s="75"/>
    </row>
    <row r="16" spans="2:19" ht="12.75">
      <c r="B16" s="257" t="s">
        <v>86</v>
      </c>
      <c r="C16" s="258"/>
      <c r="D16" s="258"/>
      <c r="E16" s="258"/>
      <c r="F16" s="258"/>
      <c r="G16" s="258"/>
      <c r="H16" s="258"/>
      <c r="I16" s="258"/>
      <c r="J16" s="258"/>
      <c r="K16" s="258"/>
      <c r="L16" s="2"/>
      <c r="M16" s="2"/>
      <c r="N16" s="2"/>
      <c r="O16" s="2"/>
      <c r="P16" s="2"/>
      <c r="S16" s="75"/>
    </row>
    <row r="17" spans="2:19" ht="12.75">
      <c r="B17" s="74" t="s">
        <v>4</v>
      </c>
      <c r="C17" s="2"/>
      <c r="D17" s="2"/>
      <c r="E17" s="2"/>
      <c r="F17" s="2"/>
      <c r="G17" s="2"/>
      <c r="H17" s="2"/>
      <c r="I17" s="2"/>
      <c r="J17" s="2"/>
      <c r="K17" s="2"/>
      <c r="L17" s="2"/>
      <c r="M17" s="2"/>
      <c r="N17" s="2"/>
      <c r="O17" s="2"/>
      <c r="P17" s="2"/>
      <c r="S17" s="75"/>
    </row>
    <row r="18" spans="2:19" ht="12.75">
      <c r="B18" s="74" t="s">
        <v>0</v>
      </c>
      <c r="C18" s="2"/>
      <c r="D18" s="2"/>
      <c r="E18" s="2"/>
      <c r="F18" s="2"/>
      <c r="G18" s="2"/>
      <c r="H18" s="2"/>
      <c r="I18" s="2"/>
      <c r="J18" s="2"/>
      <c r="K18" s="2"/>
      <c r="L18" s="2"/>
      <c r="M18" s="2"/>
      <c r="N18" s="2"/>
      <c r="O18" s="2"/>
      <c r="P18" s="2"/>
      <c r="S18" s="75"/>
    </row>
    <row r="19" spans="2:19" ht="12.75">
      <c r="B19" s="74" t="s">
        <v>5</v>
      </c>
      <c r="C19" s="2"/>
      <c r="D19" s="2"/>
      <c r="E19" s="2"/>
      <c r="F19" s="2"/>
      <c r="G19" s="2"/>
      <c r="H19" s="2"/>
      <c r="I19" s="2"/>
      <c r="J19" s="2"/>
      <c r="K19" s="2"/>
      <c r="L19" s="2"/>
      <c r="M19" s="2"/>
      <c r="N19" s="2"/>
      <c r="O19" s="2"/>
      <c r="P19" s="2"/>
      <c r="S19" s="75"/>
    </row>
    <row r="20" spans="1:26" ht="12.75" customHeight="1">
      <c r="A20" s="142"/>
      <c r="B20" s="74" t="s">
        <v>69</v>
      </c>
      <c r="C20" s="2"/>
      <c r="D20" s="2"/>
      <c r="E20" s="2"/>
      <c r="F20" s="2"/>
      <c r="G20" s="2"/>
      <c r="H20" s="2"/>
      <c r="I20" s="2"/>
      <c r="J20" s="2"/>
      <c r="K20" s="2"/>
      <c r="L20" s="2"/>
      <c r="M20" s="2"/>
      <c r="N20" s="2"/>
      <c r="O20" s="2"/>
      <c r="P20" s="2"/>
      <c r="S20" s="75"/>
      <c r="Z20" s="143"/>
    </row>
    <row r="21" spans="1:26" ht="12.75" customHeight="1">
      <c r="A21" s="142"/>
      <c r="B21" s="74"/>
      <c r="C21" s="2" t="s">
        <v>89</v>
      </c>
      <c r="D21" s="2"/>
      <c r="E21" s="2"/>
      <c r="F21" s="2"/>
      <c r="G21" s="2"/>
      <c r="H21" s="2"/>
      <c r="I21" s="2"/>
      <c r="J21" s="2"/>
      <c r="K21" s="2"/>
      <c r="L21" s="2"/>
      <c r="M21" s="2"/>
      <c r="N21" s="2"/>
      <c r="O21" s="2"/>
      <c r="P21" s="2"/>
      <c r="S21" s="75"/>
      <c r="Z21" s="143"/>
    </row>
    <row r="22" spans="2:19" ht="12.75">
      <c r="B22" s="74" t="s">
        <v>13</v>
      </c>
      <c r="C22" s="2"/>
      <c r="D22" s="2"/>
      <c r="E22" s="2"/>
      <c r="F22" s="2"/>
      <c r="G22" s="2"/>
      <c r="H22" s="2"/>
      <c r="I22" s="2"/>
      <c r="J22" s="2"/>
      <c r="K22" s="2"/>
      <c r="L22" s="2"/>
      <c r="M22" s="2"/>
      <c r="N22" s="2"/>
      <c r="O22" s="2"/>
      <c r="P22" s="2"/>
      <c r="S22" s="75"/>
    </row>
    <row r="23" spans="2:19" ht="12.75">
      <c r="B23" s="74" t="s">
        <v>158</v>
      </c>
      <c r="C23" s="2"/>
      <c r="D23" s="2"/>
      <c r="E23" s="2"/>
      <c r="F23" s="2"/>
      <c r="G23" s="2"/>
      <c r="H23" s="2"/>
      <c r="I23" s="2"/>
      <c r="J23" s="2"/>
      <c r="K23" s="2"/>
      <c r="L23" s="2"/>
      <c r="M23" s="2"/>
      <c r="N23" s="2"/>
      <c r="O23" s="2"/>
      <c r="P23" s="2"/>
      <c r="S23" s="75"/>
    </row>
    <row r="24" spans="2:19" ht="12.75">
      <c r="B24" s="74"/>
      <c r="C24" s="2" t="s">
        <v>1</v>
      </c>
      <c r="D24" s="2"/>
      <c r="E24" s="2"/>
      <c r="F24" s="2"/>
      <c r="G24" s="2"/>
      <c r="H24" s="2"/>
      <c r="I24" s="2"/>
      <c r="J24" s="2"/>
      <c r="K24" s="2"/>
      <c r="L24" s="2"/>
      <c r="M24" s="2"/>
      <c r="N24" s="2"/>
      <c r="O24" s="2"/>
      <c r="P24" s="2"/>
      <c r="S24" s="75"/>
    </row>
    <row r="25" spans="2:19" ht="12.75">
      <c r="B25" s="74" t="s">
        <v>159</v>
      </c>
      <c r="C25" s="2"/>
      <c r="D25" s="2"/>
      <c r="E25" s="2"/>
      <c r="F25" s="2"/>
      <c r="G25" s="2"/>
      <c r="H25" s="2"/>
      <c r="I25" s="2"/>
      <c r="J25" s="2"/>
      <c r="K25" s="2"/>
      <c r="L25" s="2"/>
      <c r="M25" s="2"/>
      <c r="N25" s="2"/>
      <c r="O25" s="2"/>
      <c r="P25" s="2"/>
      <c r="S25" s="75"/>
    </row>
    <row r="26" spans="1:26" ht="12.75" customHeight="1">
      <c r="A26" s="142"/>
      <c r="B26" s="159" t="s">
        <v>104</v>
      </c>
      <c r="C26" s="2"/>
      <c r="D26" s="2"/>
      <c r="E26" s="2"/>
      <c r="F26" s="2"/>
      <c r="G26" s="2"/>
      <c r="H26" s="2"/>
      <c r="I26" s="2"/>
      <c r="J26" s="2"/>
      <c r="K26" s="2"/>
      <c r="L26" s="2"/>
      <c r="M26" s="2"/>
      <c r="N26" s="2"/>
      <c r="O26" s="2"/>
      <c r="P26" s="2"/>
      <c r="S26" s="75"/>
      <c r="Z26" s="143"/>
    </row>
    <row r="27" spans="2:19" ht="13.5" thickBot="1">
      <c r="B27" s="100"/>
      <c r="C27" s="101"/>
      <c r="D27" s="101"/>
      <c r="E27" s="101"/>
      <c r="F27" s="101"/>
      <c r="G27" s="101"/>
      <c r="H27" s="101"/>
      <c r="I27" s="101"/>
      <c r="J27" s="101"/>
      <c r="K27" s="101"/>
      <c r="L27" s="101"/>
      <c r="M27" s="101"/>
      <c r="N27" s="101"/>
      <c r="O27" s="101"/>
      <c r="P27" s="101"/>
      <c r="Q27" s="101"/>
      <c r="R27" s="101"/>
      <c r="S27" s="102"/>
    </row>
    <row r="28" spans="2:19" ht="12.75">
      <c r="B28" s="136" t="s">
        <v>151</v>
      </c>
      <c r="C28" s="137"/>
      <c r="D28" s="137"/>
      <c r="E28" s="137"/>
      <c r="F28" s="137"/>
      <c r="G28" s="137"/>
      <c r="H28" s="137"/>
      <c r="I28" s="137"/>
      <c r="J28" s="137"/>
      <c r="K28" s="137"/>
      <c r="L28" s="137"/>
      <c r="M28" s="137"/>
      <c r="N28" s="137"/>
      <c r="O28" s="137"/>
      <c r="P28" s="137"/>
      <c r="Q28" s="137"/>
      <c r="R28" s="137"/>
      <c r="S28" s="138"/>
    </row>
    <row r="29" spans="2:19" ht="12.75">
      <c r="B29" s="74" t="s">
        <v>152</v>
      </c>
      <c r="C29" s="2"/>
      <c r="D29" s="2"/>
      <c r="E29" s="2"/>
      <c r="F29" s="2"/>
      <c r="G29" s="2"/>
      <c r="H29" s="2"/>
      <c r="I29" s="2"/>
      <c r="J29" s="2"/>
      <c r="K29" s="2"/>
      <c r="L29" s="2"/>
      <c r="M29" s="2"/>
      <c r="N29" s="2"/>
      <c r="O29" s="2"/>
      <c r="P29" s="2"/>
      <c r="S29" s="75"/>
    </row>
    <row r="30" spans="2:19" ht="12.75">
      <c r="B30" s="74" t="s">
        <v>148</v>
      </c>
      <c r="C30" s="2"/>
      <c r="D30" s="2"/>
      <c r="E30" s="2"/>
      <c r="F30" s="2"/>
      <c r="G30" s="2"/>
      <c r="H30" s="2"/>
      <c r="I30" s="2"/>
      <c r="J30" s="2"/>
      <c r="K30" s="2"/>
      <c r="L30" s="2"/>
      <c r="M30" s="2"/>
      <c r="N30" s="2"/>
      <c r="O30" s="2"/>
      <c r="P30" s="2"/>
      <c r="S30" s="75"/>
    </row>
    <row r="31" spans="2:19" ht="12.75">
      <c r="B31" s="74" t="s">
        <v>153</v>
      </c>
      <c r="C31" s="2"/>
      <c r="D31" s="2"/>
      <c r="E31" s="2"/>
      <c r="F31" s="2"/>
      <c r="G31" s="2"/>
      <c r="H31" s="2"/>
      <c r="I31" s="2"/>
      <c r="J31" s="2"/>
      <c r="K31" s="2"/>
      <c r="L31" s="2"/>
      <c r="M31" s="2"/>
      <c r="N31" s="2"/>
      <c r="O31" s="2"/>
      <c r="P31" s="2"/>
      <c r="S31" s="75"/>
    </row>
    <row r="32" spans="2:19" ht="12.75">
      <c r="B32" s="74"/>
      <c r="C32" s="2"/>
      <c r="D32" s="2"/>
      <c r="E32" s="2"/>
      <c r="G32" s="174" t="s">
        <v>97</v>
      </c>
      <c r="H32" s="175">
        <v>90</v>
      </c>
      <c r="I32" s="2"/>
      <c r="J32" s="2"/>
      <c r="K32" s="2"/>
      <c r="L32" s="2"/>
      <c r="M32" s="2"/>
      <c r="N32" s="2"/>
      <c r="O32" s="2"/>
      <c r="P32" s="2"/>
      <c r="S32" s="75"/>
    </row>
    <row r="33" spans="2:19" ht="12.75">
      <c r="B33" s="74" t="s">
        <v>110</v>
      </c>
      <c r="C33" s="2"/>
      <c r="D33" s="2"/>
      <c r="E33" s="2"/>
      <c r="F33" s="2"/>
      <c r="G33" s="2"/>
      <c r="H33" s="2"/>
      <c r="I33" s="2"/>
      <c r="J33" s="2"/>
      <c r="K33" s="2"/>
      <c r="L33" s="2"/>
      <c r="M33" s="2"/>
      <c r="N33" s="2"/>
      <c r="O33" s="2"/>
      <c r="P33" s="2"/>
      <c r="S33" s="75"/>
    </row>
    <row r="34" spans="2:19" ht="12.75">
      <c r="B34" s="74" t="s">
        <v>103</v>
      </c>
      <c r="C34" s="2"/>
      <c r="D34" s="2"/>
      <c r="E34" s="2"/>
      <c r="F34" s="2"/>
      <c r="G34" s="2"/>
      <c r="H34" s="2"/>
      <c r="I34" s="2"/>
      <c r="J34" s="2"/>
      <c r="K34" s="2"/>
      <c r="L34" s="2"/>
      <c r="M34" s="2"/>
      <c r="N34" s="2"/>
      <c r="O34" s="2"/>
      <c r="P34" s="2"/>
      <c r="S34" s="75"/>
    </row>
    <row r="35" spans="2:19" ht="12.75">
      <c r="B35" s="74" t="s">
        <v>160</v>
      </c>
      <c r="C35" s="2"/>
      <c r="D35" s="2"/>
      <c r="E35" s="2"/>
      <c r="F35" s="2"/>
      <c r="G35" s="2"/>
      <c r="H35" s="2"/>
      <c r="I35" s="2"/>
      <c r="J35" s="2"/>
      <c r="K35" s="2"/>
      <c r="L35" s="2"/>
      <c r="M35" s="2"/>
      <c r="N35" s="2"/>
      <c r="O35" s="2"/>
      <c r="P35" s="2"/>
      <c r="S35" s="75"/>
    </row>
    <row r="36" spans="2:19" ht="12.75">
      <c r="B36" s="74" t="str">
        <f>"The level of the interval is "&amp;H32&amp;"% for non-clinical effects; for clinical effects, it is "&amp;(90+H32/10)&amp;"% on the harm side and "&amp;(100-H32)*5&amp;"% on the beneficial side of the observed effect."</f>
        <v>The level of the interval is 90% for non-clinical effects; for clinical effects, it is 99% on the harm side and 50% on the beneficial side of the observed effect.</v>
      </c>
      <c r="C36" s="2"/>
      <c r="D36" s="2"/>
      <c r="E36" s="2"/>
      <c r="F36" s="2"/>
      <c r="G36" s="2"/>
      <c r="H36" s="2"/>
      <c r="I36" s="2"/>
      <c r="J36" s="2"/>
      <c r="K36" s="2"/>
      <c r="L36" s="2"/>
      <c r="M36" s="2"/>
      <c r="N36" s="2"/>
      <c r="O36" s="2"/>
      <c r="P36" s="2"/>
      <c r="S36" s="75"/>
    </row>
    <row r="37" spans="2:19" ht="12.75">
      <c r="B37" s="74"/>
      <c r="C37" s="2" t="str">
        <f>"Report "&amp;H32&amp;"% limits for clinical effects, not an asymmetric interval."</f>
        <v>Report 90% limits for clinical effects, not an asymmetric interval.</v>
      </c>
      <c r="D37" s="2"/>
      <c r="E37" s="2"/>
      <c r="F37" s="2"/>
      <c r="G37" s="2"/>
      <c r="H37" s="2"/>
      <c r="I37" s="2"/>
      <c r="J37" s="2"/>
      <c r="K37" s="2"/>
      <c r="L37" s="2"/>
      <c r="M37" s="2"/>
      <c r="N37" s="2"/>
      <c r="O37" s="2"/>
      <c r="P37" s="2"/>
      <c r="S37" s="75"/>
    </row>
    <row r="38" spans="2:19" ht="13.5" thickBot="1">
      <c r="B38" s="100"/>
      <c r="C38" s="101"/>
      <c r="D38" s="101"/>
      <c r="E38" s="101"/>
      <c r="F38" s="101"/>
      <c r="G38" s="101"/>
      <c r="H38" s="101"/>
      <c r="I38" s="101"/>
      <c r="J38" s="101"/>
      <c r="K38" s="101"/>
      <c r="L38" s="101"/>
      <c r="M38" s="101"/>
      <c r="N38" s="101"/>
      <c r="O38" s="101"/>
      <c r="P38" s="101"/>
      <c r="Q38" s="101"/>
      <c r="R38" s="101"/>
      <c r="S38" s="102"/>
    </row>
    <row r="39" spans="2:19" ht="12.75">
      <c r="B39" s="136" t="s">
        <v>136</v>
      </c>
      <c r="C39" s="137"/>
      <c r="D39" s="137"/>
      <c r="E39" s="137"/>
      <c r="F39" s="137"/>
      <c r="G39" s="137"/>
      <c r="H39" s="137"/>
      <c r="I39" s="137"/>
      <c r="J39" s="137"/>
      <c r="K39" s="137"/>
      <c r="L39" s="137"/>
      <c r="M39" s="137"/>
      <c r="N39" s="137"/>
      <c r="O39" s="137"/>
      <c r="P39" s="137"/>
      <c r="Q39" s="137"/>
      <c r="R39" s="137"/>
      <c r="S39" s="138"/>
    </row>
    <row r="40" spans="2:19" ht="12.75">
      <c r="B40" s="74" t="s">
        <v>62</v>
      </c>
      <c r="C40" s="2"/>
      <c r="D40" s="2"/>
      <c r="E40" s="2"/>
      <c r="F40" s="2"/>
      <c r="G40" s="2"/>
      <c r="H40" s="2"/>
      <c r="I40" s="2"/>
      <c r="J40" s="2"/>
      <c r="K40" s="2"/>
      <c r="L40" s="2"/>
      <c r="M40" s="2"/>
      <c r="N40" s="2"/>
      <c r="O40" s="2"/>
      <c r="P40" s="2"/>
      <c r="S40" s="75"/>
    </row>
    <row r="41" spans="2:19" ht="12.75">
      <c r="B41" s="74" t="s">
        <v>66</v>
      </c>
      <c r="C41" s="2"/>
      <c r="D41" s="2"/>
      <c r="E41" s="2"/>
      <c r="F41" s="2"/>
      <c r="G41" s="2"/>
      <c r="H41" s="2"/>
      <c r="I41" s="2"/>
      <c r="J41" s="2"/>
      <c r="K41" s="2"/>
      <c r="L41" s="2"/>
      <c r="M41" s="2"/>
      <c r="N41" s="2"/>
      <c r="O41" s="2"/>
      <c r="P41" s="2"/>
      <c r="S41" s="75"/>
    </row>
    <row r="42" spans="2:19" ht="12.75">
      <c r="B42" s="74"/>
      <c r="C42" s="196" t="str">
        <f>"Non-clinically unclear: &gt;"&amp;$G$51&amp;"% chance that the true value is substantially positive (or higher, for rate ratios) and &gt;"&amp;$G$51&amp;"% chance it is negative (lower)."</f>
        <v>Non-clinically unclear: &gt;5% chance that the true value is substantially positive (or higher, for rate ratios) and &gt;5% chance it is negative (lower).</v>
      </c>
      <c r="D42" s="2"/>
      <c r="E42" s="2"/>
      <c r="F42" s="2"/>
      <c r="G42" s="2"/>
      <c r="H42" s="2"/>
      <c r="I42" s="2"/>
      <c r="J42" s="2"/>
      <c r="K42" s="2"/>
      <c r="L42" s="2"/>
      <c r="M42" s="2"/>
      <c r="N42" s="2"/>
      <c r="O42" s="2"/>
      <c r="P42" s="2"/>
      <c r="S42" s="75"/>
    </row>
    <row r="43" spans="2:19" ht="12.75">
      <c r="B43" s="74"/>
      <c r="C43" s="92" t="s">
        <v>99</v>
      </c>
      <c r="D43" s="2"/>
      <c r="E43" s="2"/>
      <c r="F43" s="2"/>
      <c r="G43" s="2"/>
      <c r="H43" s="2"/>
      <c r="I43" s="2"/>
      <c r="J43" s="2"/>
      <c r="K43" s="2"/>
      <c r="L43" s="2"/>
      <c r="M43" s="2"/>
      <c r="N43" s="2"/>
      <c r="O43" s="2"/>
      <c r="P43" s="2"/>
      <c r="S43" s="75"/>
    </row>
    <row r="44" spans="2:19" ht="12.75">
      <c r="B44" s="74"/>
      <c r="C44" s="158" t="str">
        <f>"Clinically unclear: &gt;"&amp;$I$51&amp;"% chance that the true value is beneficial, and &gt;"&amp;E51&amp;" chance that it is harmful."</f>
        <v>Clinically unclear: &gt;25% chance that the true value is beneficial, and &gt;0.5 chance that it is harmful.</v>
      </c>
      <c r="D44" s="2"/>
      <c r="E44" s="2"/>
      <c r="F44" s="2"/>
      <c r="G44" s="2"/>
      <c r="H44" s="2"/>
      <c r="I44" s="2"/>
      <c r="J44" s="2"/>
      <c r="K44" s="2"/>
      <c r="L44" s="2"/>
      <c r="M44" s="2"/>
      <c r="N44" s="2"/>
      <c r="O44" s="2"/>
      <c r="P44" s="2"/>
      <c r="S44" s="75"/>
    </row>
    <row r="45" spans="2:19" ht="12.75">
      <c r="B45" s="74"/>
      <c r="C45" s="92" t="s">
        <v>98</v>
      </c>
      <c r="D45" s="2"/>
      <c r="E45" s="2"/>
      <c r="F45" s="2"/>
      <c r="G45" s="2"/>
      <c r="H45" s="2"/>
      <c r="I45" s="2"/>
      <c r="J45" s="2"/>
      <c r="K45" s="2"/>
      <c r="L45" s="2"/>
      <c r="M45" s="2"/>
      <c r="N45" s="2"/>
      <c r="O45" s="2"/>
      <c r="P45" s="2"/>
      <c r="S45" s="75"/>
    </row>
    <row r="46" spans="2:19" ht="12.75">
      <c r="B46" s="121" t="s">
        <v>141</v>
      </c>
      <c r="C46" s="2"/>
      <c r="D46" s="2"/>
      <c r="E46" s="2"/>
      <c r="F46" s="2"/>
      <c r="G46" s="2"/>
      <c r="H46" s="2"/>
      <c r="I46" s="2"/>
      <c r="J46" s="2"/>
      <c r="K46" s="2"/>
      <c r="L46" s="2"/>
      <c r="M46" s="2"/>
      <c r="N46" s="2"/>
      <c r="O46" s="2"/>
      <c r="P46" s="2"/>
      <c r="S46" s="75"/>
    </row>
    <row r="47" spans="2:19" ht="12.75">
      <c r="B47" s="121"/>
      <c r="C47" s="2" t="s">
        <v>142</v>
      </c>
      <c r="D47" s="2"/>
      <c r="E47" s="2"/>
      <c r="F47" s="2"/>
      <c r="G47" s="2"/>
      <c r="H47" s="2"/>
      <c r="I47" s="2"/>
      <c r="J47" s="2"/>
      <c r="K47" s="2"/>
      <c r="L47" s="2"/>
      <c r="M47" s="2"/>
      <c r="N47" s="2"/>
      <c r="O47" s="2"/>
      <c r="P47" s="2"/>
      <c r="S47" s="75"/>
    </row>
    <row r="48" spans="2:19" ht="12.75">
      <c r="B48" s="121" t="s">
        <v>100</v>
      </c>
      <c r="C48" s="2"/>
      <c r="D48" s="2"/>
      <c r="E48" s="2"/>
      <c r="F48" s="2"/>
      <c r="G48" s="2"/>
      <c r="H48" s="2"/>
      <c r="I48" s="2"/>
      <c r="J48" s="2"/>
      <c r="K48" s="2"/>
      <c r="L48" s="2"/>
      <c r="M48" s="2"/>
      <c r="N48" s="2"/>
      <c r="O48" s="2"/>
      <c r="P48" s="2"/>
      <c r="S48" s="75"/>
    </row>
    <row r="49" spans="2:19" ht="12.75">
      <c r="B49" s="121" t="s">
        <v>138</v>
      </c>
      <c r="C49" s="2"/>
      <c r="D49" s="2"/>
      <c r="E49" s="2"/>
      <c r="F49" s="2"/>
      <c r="G49" s="2"/>
      <c r="H49" s="2"/>
      <c r="I49" s="2"/>
      <c r="J49" s="2"/>
      <c r="K49" s="2"/>
      <c r="L49" s="2"/>
      <c r="M49" s="2"/>
      <c r="N49" s="2"/>
      <c r="O49" s="2"/>
      <c r="P49" s="2"/>
      <c r="S49" s="75"/>
    </row>
    <row r="50" spans="2:19" ht="6" customHeight="1">
      <c r="B50" s="121"/>
      <c r="C50" s="2"/>
      <c r="D50" s="2"/>
      <c r="E50" s="2"/>
      <c r="F50" s="2"/>
      <c r="G50" s="2"/>
      <c r="H50" s="2"/>
      <c r="I50" s="2"/>
      <c r="J50" s="2"/>
      <c r="K50" s="2"/>
      <c r="L50" s="2"/>
      <c r="M50" s="2"/>
      <c r="N50" s="2"/>
      <c r="O50" s="2"/>
      <c r="P50" s="2"/>
      <c r="S50" s="75"/>
    </row>
    <row r="51" spans="2:19" s="9" customFormat="1" ht="25.5">
      <c r="B51" s="122"/>
      <c r="C51" s="96">
        <v>0</v>
      </c>
      <c r="D51" s="97" t="s">
        <v>15</v>
      </c>
      <c r="E51" s="171">
        <f>(100-H32)/20/H59</f>
        <v>0.5</v>
      </c>
      <c r="F51" s="97" t="s">
        <v>16</v>
      </c>
      <c r="G51" s="171">
        <f>(100-H32)/2/H59</f>
        <v>5</v>
      </c>
      <c r="H51" s="97" t="s">
        <v>17</v>
      </c>
      <c r="I51" s="171">
        <f>(100-H32)*2.5/H59</f>
        <v>25</v>
      </c>
      <c r="J51" s="97" t="s">
        <v>18</v>
      </c>
      <c r="K51" s="98">
        <f>100-I51</f>
        <v>75</v>
      </c>
      <c r="L51" s="97" t="s">
        <v>19</v>
      </c>
      <c r="M51" s="98">
        <f>100-G51</f>
        <v>95</v>
      </c>
      <c r="N51" s="97" t="s">
        <v>20</v>
      </c>
      <c r="O51" s="98">
        <f>100-E51</f>
        <v>99.5</v>
      </c>
      <c r="P51" s="97" t="s">
        <v>21</v>
      </c>
      <c r="Q51" s="99">
        <v>100</v>
      </c>
      <c r="R51" s="10"/>
      <c r="S51" s="123"/>
    </row>
    <row r="52" spans="2:19" ht="6" customHeight="1">
      <c r="B52" s="121"/>
      <c r="C52" s="2"/>
      <c r="D52" s="2"/>
      <c r="E52" s="2"/>
      <c r="F52" s="2"/>
      <c r="G52" s="2"/>
      <c r="H52" s="2"/>
      <c r="I52" s="2"/>
      <c r="J52" s="2"/>
      <c r="K52" s="2"/>
      <c r="L52" s="2"/>
      <c r="M52" s="2"/>
      <c r="N52" s="2"/>
      <c r="O52" s="2"/>
      <c r="P52" s="2"/>
      <c r="S52" s="75"/>
    </row>
    <row r="53" spans="2:21" s="9" customFormat="1" ht="12.75">
      <c r="B53" s="122"/>
      <c r="C53" s="93" t="s">
        <v>67</v>
      </c>
      <c r="D53" s="58"/>
      <c r="E53" s="58"/>
      <c r="F53" s="60"/>
      <c r="G53" s="58"/>
      <c r="H53" s="60"/>
      <c r="I53" s="58"/>
      <c r="J53" s="60"/>
      <c r="K53" s="58"/>
      <c r="L53" s="59"/>
      <c r="M53" s="58"/>
      <c r="N53" s="59"/>
      <c r="O53" s="58"/>
      <c r="P53" s="59"/>
      <c r="Q53" s="58"/>
      <c r="R53" s="10"/>
      <c r="S53" s="123"/>
      <c r="T53" s="10"/>
      <c r="U53" s="10"/>
    </row>
    <row r="54" spans="2:19" ht="12.75">
      <c r="B54" s="121"/>
      <c r="C54" s="2" t="s">
        <v>161</v>
      </c>
      <c r="D54" s="2"/>
      <c r="E54" s="2"/>
      <c r="F54" s="2"/>
      <c r="G54" s="2"/>
      <c r="H54" s="2"/>
      <c r="I54" s="2"/>
      <c r="J54" s="2"/>
      <c r="K54" s="2"/>
      <c r="L54" s="2"/>
      <c r="M54" s="2"/>
      <c r="N54" s="2"/>
      <c r="O54" s="2"/>
      <c r="P54" s="2"/>
      <c r="S54" s="75"/>
    </row>
    <row r="55" spans="2:19" ht="12.75">
      <c r="B55" s="121"/>
      <c r="C55" s="2" t="s">
        <v>139</v>
      </c>
      <c r="D55" s="2"/>
      <c r="E55" s="2"/>
      <c r="F55" s="2"/>
      <c r="G55" s="2"/>
      <c r="H55" s="2"/>
      <c r="I55" s="2"/>
      <c r="J55" s="2"/>
      <c r="K55" s="2"/>
      <c r="L55" s="2"/>
      <c r="M55" s="2"/>
      <c r="N55" s="2"/>
      <c r="O55" s="2"/>
      <c r="P55" s="2"/>
      <c r="R55" s="75"/>
      <c r="S55" s="75"/>
    </row>
    <row r="56" spans="2:19" ht="12.75">
      <c r="B56" s="121"/>
      <c r="C56" s="92" t="s">
        <v>140</v>
      </c>
      <c r="D56" s="2"/>
      <c r="E56" s="2"/>
      <c r="F56" s="2"/>
      <c r="G56" s="2"/>
      <c r="H56" s="2"/>
      <c r="I56" s="2"/>
      <c r="J56" s="2"/>
      <c r="K56" s="2"/>
      <c r="L56" s="2"/>
      <c r="M56" s="2"/>
      <c r="N56" s="2"/>
      <c r="O56" s="2"/>
      <c r="P56" s="2"/>
      <c r="S56" s="75"/>
    </row>
    <row r="57" spans="2:19" ht="12.75">
      <c r="B57" s="121" t="s">
        <v>105</v>
      </c>
      <c r="C57" s="2"/>
      <c r="D57" s="2"/>
      <c r="E57" s="2"/>
      <c r="F57" s="2"/>
      <c r="G57" s="2"/>
      <c r="H57" s="2"/>
      <c r="I57" s="2"/>
      <c r="J57" s="2"/>
      <c r="K57" s="2"/>
      <c r="L57" s="2"/>
      <c r="M57" s="2"/>
      <c r="N57" s="2"/>
      <c r="O57" s="2"/>
      <c r="P57" s="2"/>
      <c r="S57" s="75"/>
    </row>
    <row r="58" spans="2:19" ht="12.75">
      <c r="B58" s="121"/>
      <c r="C58" s="92" t="s">
        <v>106</v>
      </c>
      <c r="D58" s="2"/>
      <c r="E58" s="2"/>
      <c r="F58" s="2"/>
      <c r="G58" s="2"/>
      <c r="H58" s="2"/>
      <c r="I58" s="2"/>
      <c r="J58" s="2"/>
      <c r="K58" s="2"/>
      <c r="L58" s="2"/>
      <c r="M58" s="2"/>
      <c r="N58" s="2"/>
      <c r="O58" s="2"/>
      <c r="P58" s="2"/>
      <c r="S58" s="75"/>
    </row>
    <row r="59" spans="2:19" ht="12.75">
      <c r="B59" s="121"/>
      <c r="C59" s="92"/>
      <c r="D59" s="2"/>
      <c r="E59" s="2"/>
      <c r="F59" s="2"/>
      <c r="G59" s="169" t="s">
        <v>107</v>
      </c>
      <c r="H59" s="170">
        <v>1</v>
      </c>
      <c r="I59" s="262" t="s">
        <v>102</v>
      </c>
      <c r="J59" s="263"/>
      <c r="K59" s="263"/>
      <c r="L59" s="263"/>
      <c r="M59" s="263"/>
      <c r="N59" s="2"/>
      <c r="O59" s="2"/>
      <c r="P59" s="2"/>
      <c r="S59" s="75"/>
    </row>
    <row r="60" spans="2:19" ht="12.75">
      <c r="B60" s="121" t="s">
        <v>101</v>
      </c>
      <c r="C60" s="2"/>
      <c r="D60" s="2"/>
      <c r="E60" s="2"/>
      <c r="F60" s="2"/>
      <c r="G60" s="2"/>
      <c r="H60" s="2"/>
      <c r="I60" s="2"/>
      <c r="J60" s="2"/>
      <c r="K60" s="2"/>
      <c r="L60" s="2"/>
      <c r="M60" s="2"/>
      <c r="N60" s="2"/>
      <c r="O60" s="2"/>
      <c r="P60" s="2"/>
      <c r="S60" s="75"/>
    </row>
    <row r="61" spans="2:19" ht="12.75">
      <c r="B61" s="74"/>
      <c r="C61" s="92" t="str">
        <f>"If the odds ratio of benefit/harm is &gt;"&amp;ROUND(I51/K51/(E51/O51),1)&amp;", an effect with the chance of benefit &lt;"&amp;I51&amp;"% or the risk of harm &gt;"&amp;E51&amp;"% is shown as potentially implementable."</f>
        <v>If the odds ratio of benefit/harm is &gt;66.3, an effect with the chance of benefit &lt;25% or the risk of harm &gt;0.5% is shown as potentially implementable.</v>
      </c>
      <c r="D61" s="2"/>
      <c r="E61" s="2"/>
      <c r="F61" s="2"/>
      <c r="G61" s="2"/>
      <c r="H61" s="2"/>
      <c r="I61" s="2"/>
      <c r="J61" s="2"/>
      <c r="K61" s="2"/>
      <c r="L61" s="2"/>
      <c r="M61" s="2"/>
      <c r="N61" s="2"/>
      <c r="O61" s="2"/>
      <c r="P61" s="2"/>
      <c r="S61" s="75"/>
    </row>
    <row r="62" spans="2:19" ht="12.75">
      <c r="B62" s="121"/>
      <c r="C62" s="2" t="str">
        <f>"The odds ratio of "&amp;ROUND(I51/K51/(E51/O51),1)&amp;" is derived from the limiting case of "&amp;ROUND($I$51,1)&amp;"% chance of benefit and "&amp;ROUND($E$51,2)&amp;"% risk of harm."</f>
        <v>The odds ratio of 66.3 is derived from the limiting case of 25% chance of benefit and 0.5% risk of harm.</v>
      </c>
      <c r="D62" s="150"/>
      <c r="E62" s="187"/>
      <c r="F62" s="2"/>
      <c r="G62" s="2"/>
      <c r="H62" s="2"/>
      <c r="I62" s="2"/>
      <c r="J62" s="2"/>
      <c r="K62" s="2"/>
      <c r="L62" s="2"/>
      <c r="M62" s="2"/>
      <c r="N62" s="2"/>
      <c r="O62" s="2"/>
      <c r="P62" s="2"/>
      <c r="S62" s="75"/>
    </row>
    <row r="63" spans="2:19" ht="12.75">
      <c r="B63" s="74" t="s">
        <v>137</v>
      </c>
      <c r="C63" s="2"/>
      <c r="D63" s="2"/>
      <c r="E63" s="2"/>
      <c r="F63" s="2"/>
      <c r="G63" s="2"/>
      <c r="H63" s="2"/>
      <c r="I63" s="2"/>
      <c r="J63" s="2"/>
      <c r="K63" s="2"/>
      <c r="L63" s="2"/>
      <c r="M63" s="2"/>
      <c r="N63" s="2"/>
      <c r="O63" s="2"/>
      <c r="P63" s="2"/>
      <c r="S63" s="75"/>
    </row>
    <row r="64" spans="1:19" ht="12.75" customHeight="1">
      <c r="A64" s="2"/>
      <c r="B64" s="74"/>
      <c r="C64" s="2" t="s">
        <v>61</v>
      </c>
      <c r="D64" s="2"/>
      <c r="E64" s="2"/>
      <c r="F64" s="2"/>
      <c r="G64" s="2"/>
      <c r="H64" s="2"/>
      <c r="I64" s="2"/>
      <c r="J64" s="2"/>
      <c r="K64" s="2"/>
      <c r="L64" s="2"/>
      <c r="M64" s="2"/>
      <c r="N64" s="2"/>
      <c r="O64" s="2"/>
      <c r="P64" s="2"/>
      <c r="S64" s="75"/>
    </row>
    <row r="65" spans="1:19" ht="12.75" customHeight="1">
      <c r="A65" s="2"/>
      <c r="B65" s="74"/>
      <c r="C65" s="2" t="s">
        <v>91</v>
      </c>
      <c r="D65" s="2"/>
      <c r="E65" s="2"/>
      <c r="F65" s="2"/>
      <c r="G65" s="2"/>
      <c r="H65" s="2"/>
      <c r="I65" s="2"/>
      <c r="J65" s="2"/>
      <c r="K65" s="2"/>
      <c r="L65" s="2"/>
      <c r="M65" s="2"/>
      <c r="N65" s="2"/>
      <c r="O65" s="2"/>
      <c r="P65" s="2"/>
      <c r="S65" s="75"/>
    </row>
    <row r="66" spans="1:19" ht="12.75" customHeight="1">
      <c r="A66" s="2"/>
      <c r="B66" s="74"/>
      <c r="C66" s="92" t="s">
        <v>108</v>
      </c>
      <c r="D66" s="2"/>
      <c r="E66" s="2"/>
      <c r="F66" s="2"/>
      <c r="G66" s="2"/>
      <c r="H66" s="2"/>
      <c r="I66" s="2"/>
      <c r="J66" s="2"/>
      <c r="K66" s="2"/>
      <c r="L66" s="2"/>
      <c r="M66" s="2"/>
      <c r="N66" s="2"/>
      <c r="O66" s="2"/>
      <c r="P66" s="2"/>
      <c r="S66" s="75"/>
    </row>
    <row r="67" spans="1:19" ht="12.75" customHeight="1">
      <c r="A67" s="2"/>
      <c r="B67" s="74"/>
      <c r="C67" s="92" t="s">
        <v>115</v>
      </c>
      <c r="D67" s="2"/>
      <c r="E67" s="2"/>
      <c r="F67" s="2"/>
      <c r="G67" s="2"/>
      <c r="H67" s="2"/>
      <c r="I67" s="2"/>
      <c r="J67" s="2"/>
      <c r="K67" s="2"/>
      <c r="L67" s="2"/>
      <c r="M67" s="2"/>
      <c r="N67" s="2"/>
      <c r="O67" s="2"/>
      <c r="P67" s="2"/>
      <c r="S67" s="75"/>
    </row>
    <row r="68" spans="1:19" ht="12.75" customHeight="1">
      <c r="A68" s="2"/>
      <c r="B68" s="74"/>
      <c r="C68" s="92" t="s">
        <v>147</v>
      </c>
      <c r="D68" s="2"/>
      <c r="E68" s="2"/>
      <c r="F68" s="2"/>
      <c r="G68" s="2"/>
      <c r="H68" s="2"/>
      <c r="I68" s="2"/>
      <c r="J68" s="2"/>
      <c r="K68" s="2"/>
      <c r="L68" s="2"/>
      <c r="M68" s="2"/>
      <c r="N68" s="2"/>
      <c r="O68" s="2"/>
      <c r="P68" s="2"/>
      <c r="S68" s="75"/>
    </row>
    <row r="69" spans="2:19" ht="12.75">
      <c r="B69" s="74"/>
      <c r="C69" s="197" t="s">
        <v>154</v>
      </c>
      <c r="D69" s="2"/>
      <c r="E69" s="2"/>
      <c r="F69" s="2"/>
      <c r="G69" s="2"/>
      <c r="H69" s="2"/>
      <c r="I69" s="2"/>
      <c r="J69" s="2"/>
      <c r="K69" s="2"/>
      <c r="L69" s="2"/>
      <c r="M69" s="2"/>
      <c r="N69" s="2"/>
      <c r="O69" s="2"/>
      <c r="P69" s="2"/>
      <c r="S69" s="75"/>
    </row>
    <row r="70" spans="2:19" ht="12.75">
      <c r="B70" s="74"/>
      <c r="C70" s="197" t="s">
        <v>155</v>
      </c>
      <c r="D70" s="2"/>
      <c r="E70" s="2"/>
      <c r="F70" s="2"/>
      <c r="G70" s="2"/>
      <c r="H70" s="2"/>
      <c r="I70" s="2"/>
      <c r="J70" s="2"/>
      <c r="K70" s="2"/>
      <c r="L70" s="2"/>
      <c r="M70" s="2"/>
      <c r="N70" s="2"/>
      <c r="O70" s="2"/>
      <c r="P70" s="2"/>
      <c r="S70" s="75"/>
    </row>
    <row r="71" spans="2:20" s="9" customFormat="1" ht="12.75" customHeight="1">
      <c r="B71" s="122"/>
      <c r="C71" s="197" t="s">
        <v>143</v>
      </c>
      <c r="D71" s="92"/>
      <c r="E71" s="58"/>
      <c r="F71" s="60"/>
      <c r="G71" s="60"/>
      <c r="H71" s="60"/>
      <c r="I71" s="58"/>
      <c r="J71" s="60"/>
      <c r="K71" s="58"/>
      <c r="L71" s="59"/>
      <c r="M71" s="58"/>
      <c r="N71" s="59"/>
      <c r="O71" s="58"/>
      <c r="P71" s="59"/>
      <c r="Q71" s="58"/>
      <c r="R71" s="10"/>
      <c r="S71" s="123"/>
      <c r="T71" s="10"/>
    </row>
    <row r="72" spans="2:20" s="9" customFormat="1" ht="12.75" customHeight="1" thickBot="1">
      <c r="B72" s="124"/>
      <c r="C72" s="275" t="s">
        <v>162</v>
      </c>
      <c r="D72" s="125"/>
      <c r="E72" s="126"/>
      <c r="F72" s="127"/>
      <c r="G72" s="127"/>
      <c r="H72" s="127"/>
      <c r="I72" s="126"/>
      <c r="J72" s="127"/>
      <c r="K72" s="126"/>
      <c r="L72" s="128"/>
      <c r="M72" s="126"/>
      <c r="N72" s="128"/>
      <c r="O72" s="126"/>
      <c r="P72" s="128"/>
      <c r="Q72" s="126"/>
      <c r="R72" s="130"/>
      <c r="S72" s="129"/>
      <c r="T72" s="10"/>
    </row>
    <row r="73" spans="2:20" s="9" customFormat="1" ht="13.5" thickBot="1">
      <c r="B73" s="10"/>
      <c r="C73" s="32"/>
      <c r="D73" s="2"/>
      <c r="E73" s="10"/>
      <c r="F73" s="30"/>
      <c r="G73" s="10"/>
      <c r="H73" s="149"/>
      <c r="I73" s="10"/>
      <c r="J73" s="30"/>
      <c r="K73" s="10"/>
      <c r="L73" s="31"/>
      <c r="M73" s="10"/>
      <c r="N73" s="31"/>
      <c r="O73" s="10"/>
      <c r="P73" s="31"/>
      <c r="Q73" s="10"/>
      <c r="R73" s="10"/>
      <c r="S73" s="10"/>
      <c r="T73" s="10"/>
    </row>
    <row r="74" spans="2:19" s="4" customFormat="1" ht="15">
      <c r="B74" s="131" t="s">
        <v>71</v>
      </c>
      <c r="C74" s="132"/>
      <c r="D74" s="132"/>
      <c r="E74" s="132"/>
      <c r="F74" s="132"/>
      <c r="G74" s="132"/>
      <c r="H74" s="132"/>
      <c r="I74" s="132"/>
      <c r="J74" s="132"/>
      <c r="K74" s="132"/>
      <c r="L74" s="132"/>
      <c r="M74" s="132"/>
      <c r="N74" s="132"/>
      <c r="O74" s="132"/>
      <c r="P74" s="132"/>
      <c r="Q74" s="132"/>
      <c r="R74" s="132"/>
      <c r="S74" s="133"/>
    </row>
    <row r="75" spans="2:19" s="4" customFormat="1" ht="14.25">
      <c r="B75" s="74" t="s">
        <v>163</v>
      </c>
      <c r="S75" s="71"/>
    </row>
    <row r="76" spans="2:19" s="4" customFormat="1" ht="14.25">
      <c r="B76" s="74"/>
      <c r="C76" s="2" t="s">
        <v>65</v>
      </c>
      <c r="S76" s="71"/>
    </row>
    <row r="77" spans="2:19" ht="12.75">
      <c r="B77" s="72"/>
      <c r="C77" s="2" t="s">
        <v>14</v>
      </c>
      <c r="D77" s="2"/>
      <c r="E77" s="2"/>
      <c r="F77" s="2"/>
      <c r="G77" s="2"/>
      <c r="H77" s="2"/>
      <c r="I77" s="2"/>
      <c r="J77" s="2"/>
      <c r="K77" s="2"/>
      <c r="L77" s="2"/>
      <c r="M77" s="2"/>
      <c r="N77" s="2"/>
      <c r="O77" s="2"/>
      <c r="P77" s="2"/>
      <c r="S77" s="75"/>
    </row>
    <row r="78" spans="2:19" s="5" customFormat="1" ht="12.75">
      <c r="B78" s="74"/>
      <c r="C78" s="2" t="s">
        <v>88</v>
      </c>
      <c r="D78" s="6"/>
      <c r="E78" s="6"/>
      <c r="F78" s="6"/>
      <c r="G78" s="6"/>
      <c r="H78" s="6"/>
      <c r="I78" s="6"/>
      <c r="J78" s="6"/>
      <c r="K78" s="6"/>
      <c r="L78" s="6"/>
      <c r="M78" s="6"/>
      <c r="N78" s="6"/>
      <c r="O78" s="6"/>
      <c r="P78" s="6"/>
      <c r="Q78" s="6"/>
      <c r="R78" s="6"/>
      <c r="S78" s="73"/>
    </row>
    <row r="79" spans="2:19" s="4" customFormat="1" ht="14.25">
      <c r="B79" s="74" t="s">
        <v>134</v>
      </c>
      <c r="C79" s="2"/>
      <c r="S79" s="71"/>
    </row>
    <row r="80" spans="2:19" s="4" customFormat="1" ht="14.25">
      <c r="B80" s="74"/>
      <c r="C80" s="2" t="s">
        <v>128</v>
      </c>
      <c r="S80" s="71"/>
    </row>
    <row r="81" spans="2:19" s="4" customFormat="1" ht="14.25">
      <c r="B81" s="91"/>
      <c r="C81" s="2" t="s">
        <v>144</v>
      </c>
      <c r="S81" s="71"/>
    </row>
    <row r="82" spans="2:19" s="4" customFormat="1" ht="14.25">
      <c r="B82" s="91"/>
      <c r="C82" s="2" t="s">
        <v>124</v>
      </c>
      <c r="S82" s="71"/>
    </row>
    <row r="83" spans="2:19" s="5" customFormat="1" ht="12.75">
      <c r="B83" s="74" t="s">
        <v>8</v>
      </c>
      <c r="C83" s="6"/>
      <c r="D83" s="6"/>
      <c r="E83" s="6"/>
      <c r="F83" s="6"/>
      <c r="G83" s="6"/>
      <c r="H83" s="6"/>
      <c r="I83" s="6"/>
      <c r="J83" s="6"/>
      <c r="K83" s="6"/>
      <c r="L83" s="6"/>
      <c r="M83" s="6"/>
      <c r="N83" s="6"/>
      <c r="O83" s="6"/>
      <c r="P83" s="6"/>
      <c r="Q83" s="6"/>
      <c r="R83" s="6"/>
      <c r="S83" s="73"/>
    </row>
    <row r="84" spans="2:19" ht="12.75">
      <c r="B84" s="74"/>
      <c r="C84" s="2" t="s">
        <v>9</v>
      </c>
      <c r="D84" s="2"/>
      <c r="E84" s="2"/>
      <c r="F84" s="2"/>
      <c r="G84" s="2"/>
      <c r="H84" s="2"/>
      <c r="I84" s="2"/>
      <c r="J84" s="2"/>
      <c r="K84" s="2"/>
      <c r="L84" s="2"/>
      <c r="M84" s="2"/>
      <c r="N84" s="2"/>
      <c r="O84" s="2"/>
      <c r="P84" s="2"/>
      <c r="S84" s="75"/>
    </row>
    <row r="85" spans="2:19" ht="12.75">
      <c r="B85" s="74"/>
      <c r="C85" s="2" t="s">
        <v>10</v>
      </c>
      <c r="D85" s="2"/>
      <c r="E85" s="2"/>
      <c r="F85" s="2"/>
      <c r="G85" s="2"/>
      <c r="H85" s="2"/>
      <c r="I85" s="2"/>
      <c r="J85" s="2"/>
      <c r="K85" s="2"/>
      <c r="L85" s="2"/>
      <c r="M85" s="2"/>
      <c r="N85" s="2"/>
      <c r="O85" s="2"/>
      <c r="P85" s="2"/>
      <c r="S85" s="75"/>
    </row>
    <row r="86" spans="2:19" ht="12.75">
      <c r="B86" s="74"/>
      <c r="C86" s="2" t="s">
        <v>11</v>
      </c>
      <c r="D86" s="2"/>
      <c r="E86" s="2"/>
      <c r="F86" s="2"/>
      <c r="G86" s="2"/>
      <c r="H86" s="2"/>
      <c r="I86" s="2"/>
      <c r="J86" s="2"/>
      <c r="K86" s="2"/>
      <c r="L86" s="2"/>
      <c r="M86" s="2"/>
      <c r="N86" s="2"/>
      <c r="O86" s="2"/>
      <c r="P86" s="2"/>
      <c r="S86" s="75"/>
    </row>
    <row r="87" spans="2:19" ht="12.75">
      <c r="B87" s="74"/>
      <c r="C87" s="2" t="s">
        <v>12</v>
      </c>
      <c r="D87" s="2"/>
      <c r="E87" s="2"/>
      <c r="F87" s="2"/>
      <c r="G87" s="2"/>
      <c r="H87" s="2"/>
      <c r="I87" s="2"/>
      <c r="J87" s="2"/>
      <c r="K87" s="2"/>
      <c r="L87" s="2"/>
      <c r="M87" s="2"/>
      <c r="N87" s="2"/>
      <c r="O87" s="2"/>
      <c r="P87" s="2"/>
      <c r="S87" s="75"/>
    </row>
    <row r="88" spans="2:19" ht="12.75">
      <c r="B88" s="74"/>
      <c r="C88" s="2" t="s">
        <v>111</v>
      </c>
      <c r="D88" s="2"/>
      <c r="E88" s="2"/>
      <c r="F88" s="2"/>
      <c r="G88" s="2"/>
      <c r="H88" s="2"/>
      <c r="I88" s="2"/>
      <c r="J88" s="2"/>
      <c r="K88" s="2"/>
      <c r="L88" s="2"/>
      <c r="M88" s="2"/>
      <c r="N88" s="2"/>
      <c r="O88" s="2"/>
      <c r="P88" s="2"/>
      <c r="S88" s="75"/>
    </row>
    <row r="89" spans="2:23" s="7" customFormat="1" ht="12.75">
      <c r="B89" s="76"/>
      <c r="C89" s="77"/>
      <c r="D89" s="8"/>
      <c r="E89" s="8"/>
      <c r="F89" s="8"/>
      <c r="G89" s="8"/>
      <c r="H89" s="8"/>
      <c r="I89" s="8"/>
      <c r="J89" s="8"/>
      <c r="K89" s="8"/>
      <c r="L89" s="8"/>
      <c r="M89" s="8"/>
      <c r="N89" s="8"/>
      <c r="O89" s="8"/>
      <c r="P89" s="8"/>
      <c r="Q89" s="8"/>
      <c r="R89" s="8"/>
      <c r="S89" s="78"/>
      <c r="U89" s="1"/>
      <c r="V89" s="1"/>
      <c r="W89" s="1"/>
    </row>
    <row r="90" spans="2:21" ht="12.75">
      <c r="B90" s="79"/>
      <c r="C90" s="65"/>
      <c r="D90" s="80"/>
      <c r="E90" s="65"/>
      <c r="F90" s="65"/>
      <c r="G90" s="65"/>
      <c r="H90" s="65"/>
      <c r="I90" s="244" t="s">
        <v>96</v>
      </c>
      <c r="J90" s="244"/>
      <c r="K90" s="244"/>
      <c r="L90" s="244"/>
      <c r="M90" s="65"/>
      <c r="N90" s="65"/>
      <c r="O90" s="65"/>
      <c r="P90" s="65"/>
      <c r="Q90" s="65"/>
      <c r="R90" s="65"/>
      <c r="S90" s="81"/>
      <c r="U90" s="21" t="s">
        <v>95</v>
      </c>
    </row>
    <row r="91" spans="2:23" s="3" customFormat="1" ht="12.75" customHeight="1">
      <c r="B91" s="82"/>
      <c r="C91" s="198" t="s">
        <v>48</v>
      </c>
      <c r="D91" s="198" t="s">
        <v>47</v>
      </c>
      <c r="E91" s="198" t="s">
        <v>46</v>
      </c>
      <c r="F91" s="198" t="s">
        <v>45</v>
      </c>
      <c r="G91" s="226" t="s">
        <v>49</v>
      </c>
      <c r="H91" s="227"/>
      <c r="I91" s="228" t="s">
        <v>44</v>
      </c>
      <c r="J91" s="229"/>
      <c r="K91" s="229"/>
      <c r="L91" s="230"/>
      <c r="M91" s="208" t="s">
        <v>2</v>
      </c>
      <c r="N91" s="209"/>
      <c r="O91" s="209"/>
      <c r="P91" s="209"/>
      <c r="Q91" s="209"/>
      <c r="R91" s="210"/>
      <c r="S91" s="83"/>
      <c r="U91" s="160" t="s">
        <v>94</v>
      </c>
      <c r="V91" s="160" t="s">
        <v>94</v>
      </c>
      <c r="W91" s="160" t="s">
        <v>94</v>
      </c>
    </row>
    <row r="92" spans="2:23" s="3" customFormat="1" ht="12.75" customHeight="1">
      <c r="B92" s="82"/>
      <c r="C92" s="199"/>
      <c r="D92" s="199"/>
      <c r="E92" s="199"/>
      <c r="F92" s="199"/>
      <c r="G92" s="61" t="s">
        <v>58</v>
      </c>
      <c r="H92" s="63" t="s">
        <v>59</v>
      </c>
      <c r="I92" s="234" t="str">
        <f>"value, with "&amp;F94&amp;"% compatibility interval"</f>
        <v>value, with 90% compatibility interval</v>
      </c>
      <c r="J92" s="235"/>
      <c r="K92" s="234" t="str">
        <f>"or value, with ±"&amp;F94&amp;"% compatibility limits"</f>
        <v>or value, with ±90% compatibility limits</v>
      </c>
      <c r="L92" s="235"/>
      <c r="M92" s="211" t="str">
        <f>"beneficial or
substantially "&amp;G93</f>
        <v>beneficial or
substantially +ive</v>
      </c>
      <c r="N92" s="212"/>
      <c r="O92" s="215" t="s">
        <v>24</v>
      </c>
      <c r="P92" s="216"/>
      <c r="Q92" s="202" t="str">
        <f>"harmful or 
substantially "&amp;H93</f>
        <v>harmful or 
substantially -ive</v>
      </c>
      <c r="R92" s="203"/>
      <c r="S92" s="261" t="s">
        <v>90</v>
      </c>
      <c r="T92" s="29"/>
      <c r="U92" s="241" t="s">
        <v>112</v>
      </c>
      <c r="V92" s="242"/>
      <c r="W92" s="243"/>
    </row>
    <row r="93" spans="2:23" s="3" customFormat="1" ht="12.75" customHeight="1">
      <c r="B93" s="82"/>
      <c r="C93" s="200"/>
      <c r="D93" s="200"/>
      <c r="E93" s="200"/>
      <c r="F93" s="200"/>
      <c r="G93" s="62" t="str">
        <f>IF(ISBLANK(G94),"???",IF(G94&lt;0,"-ive","+ive"))</f>
        <v>+ive</v>
      </c>
      <c r="H93" s="64" t="str">
        <f>IF(TYPE(H94)=2,"???",IF(H94&lt;0,"-ive","+ive"))</f>
        <v>-ive</v>
      </c>
      <c r="I93" s="236"/>
      <c r="J93" s="237"/>
      <c r="K93" s="236"/>
      <c r="L93" s="237"/>
      <c r="M93" s="213"/>
      <c r="N93" s="214"/>
      <c r="O93" s="217"/>
      <c r="P93" s="218"/>
      <c r="Q93" s="204"/>
      <c r="R93" s="205"/>
      <c r="S93" s="261"/>
      <c r="T93" s="29"/>
      <c r="U93" s="47" t="s">
        <v>27</v>
      </c>
      <c r="V93" s="47" t="s">
        <v>28</v>
      </c>
      <c r="W93" s="43" t="s">
        <v>29</v>
      </c>
    </row>
    <row r="94" spans="2:23" s="3" customFormat="1" ht="12.75" customHeight="1">
      <c r="B94" s="82"/>
      <c r="C94" s="34">
        <v>0.1</v>
      </c>
      <c r="D94" s="17">
        <v>2.1</v>
      </c>
      <c r="E94" s="35">
        <v>18</v>
      </c>
      <c r="F94" s="37">
        <f>$H$32</f>
        <v>90</v>
      </c>
      <c r="G94" s="36">
        <v>1</v>
      </c>
      <c r="H94" s="37">
        <f>IF(ISBLANK(G94)," ",-G94)</f>
        <v>-1</v>
      </c>
      <c r="I94" s="219" t="str">
        <f>ROUND(D94,1-INT(IF(ISERROR(LOG10(ABS(D94))),0,LOG10(ABS(D94)))))&amp;", "&amp;ROUND(U94,1-INT(IF(ISERROR(LOG10(ABS(U94))),0,LOG10(ABS(U94)))))&amp;" to "&amp;ROUND(V94,1-INT(IF(ISERROR(LOG10(ABS(V94))),0,LOG10(ABS(V94)))))</f>
        <v>2.1, 0 to 4.2</v>
      </c>
      <c r="J94" s="220"/>
      <c r="K94" s="221" t="str">
        <f>ROUND(D94,1-INT(IF(ISERROR(LOG10(ABS(D94))),0,LOG10(ABS(D94)))))&amp;", ±"&amp;ROUND(W94,1-INT(IF(ISERROR(LOG10(ABS(W94))),0,LOG10(ABS(W94)))))</f>
        <v>2.1, ±2.1</v>
      </c>
      <c r="L94" s="222"/>
      <c r="M94" s="94">
        <f>100*IF(G94&gt;0,IF(D94-G94&gt;0,1-TDIST((D94-G94)/ABS(D94)*TINV(C94,E94),E94,1),TDIST((G94-D94)/ABS(D94)*TINV(C94,E94),E94,1)),IF(D94-G94&gt;0,TDIST((D94-G94)/ABS(D94)*TINV(C94,E94),E94,1),1-TDIST((G94-D94)/ABS(D94)*TINV(C94,E94),E94,1)))</f>
        <v>81.21445137260851</v>
      </c>
      <c r="N94" s="95" t="str">
        <f>"%"</f>
        <v>%</v>
      </c>
      <c r="O94" s="94">
        <f>100-M94-Q94</f>
        <v>17.80097070513463</v>
      </c>
      <c r="P94" s="95" t="str">
        <f>"%"</f>
        <v>%</v>
      </c>
      <c r="Q94" s="94">
        <f>100*IF(H94&gt;0,IF(D94-H94&gt;0,1-TDIST((D94-H94)/ABS(D94)*TINV(C94,E94),E94,1),TDIST((H94-D94)/ABS(D94)*TINV(C94,E94),E94,1)),IF(D94-H94&gt;0,TDIST((D94-H94)/ABS(D94)*TINV(C94,E94),E94,1),1-TDIST((H94-D94)/ABS(D94)*TINV(C94,E94),E94,1)))</f>
        <v>0.984577922256862</v>
      </c>
      <c r="R94" s="95" t="str">
        <f>"%"</f>
        <v>%</v>
      </c>
      <c r="S94" s="181">
        <f>M94/(100-M94)/(Q94/(100-Q94))</f>
        <v>434.77261540948683</v>
      </c>
      <c r="T94" s="29"/>
      <c r="U94" s="161">
        <f>D94-TINV((100-F94)/100,E94)*ABS(D94)/TINV(C94,E94)</f>
        <v>0</v>
      </c>
      <c r="V94" s="161">
        <f>D94+TINV((100-F94)/100,E94)*ABS(D94)/TINV(C94,E94)</f>
        <v>4.2</v>
      </c>
      <c r="W94" s="162">
        <f>(V94-U94)/2</f>
        <v>2.1</v>
      </c>
    </row>
    <row r="95" spans="2:21" s="3" customFormat="1" ht="12.75" customHeight="1">
      <c r="B95" s="82"/>
      <c r="C95" s="223" t="str">
        <f>"Clinical decision: "&amp;IF(M94&lt;$I$51,IF(MAX(O94,Q94)=O94,O95&amp;" trivial; don't use",Q95&amp;" harmful; don't use"),IF(Q94&lt;$E$51,M95&amp;" beneficial; consider using it","unclear; don't use; get more data"))&amp;".   Non-clinical decision: "&amp;IF(MIN(M94,Q94)&gt;$G$51,"unclear; get more data",IF(M94&gt;$I$51,M95&amp;" "&amp;G93,IF(Q94&gt;$I$51,Q95&amp;" "&amp;H93,O95&amp;" trivial")))&amp;"."</f>
        <v>Clinical decision: unclear; don't use; get more data.   Non-clinical decision: likely +ive.</v>
      </c>
      <c r="D95" s="224"/>
      <c r="E95" s="224"/>
      <c r="F95" s="224"/>
      <c r="G95" s="224"/>
      <c r="H95" s="224"/>
      <c r="I95" s="224"/>
      <c r="J95" s="224"/>
      <c r="K95" s="224"/>
      <c r="L95" s="225"/>
      <c r="M95" s="206" t="str">
        <f>IF(M94&lt;$E$51,$D$51,IF(M94&lt;$G$51,$F$51,IF(M94&lt;$I$51,$H$51,IF(M94&lt;$K$51,$J$51,IF(M94&lt;$M$51,$L$51,IF(M94&lt;$O$51,$N$51,$P$51))))))</f>
        <v>likely</v>
      </c>
      <c r="N95" s="207"/>
      <c r="O95" s="206" t="str">
        <f>IF(O94&lt;$E$51,$D$51,IF(O94&lt;$G$51,$F$51,IF(O94&lt;$I$51,$H$51,IF(O94&lt;$K$51,$J$51,IF(O94&lt;$M$51,$L$51,IF(O94&lt;$O$51,$N$51,$P$51))))))</f>
        <v>unlikely</v>
      </c>
      <c r="P95" s="207"/>
      <c r="Q95" s="206" t="str">
        <f>IF(Q94&lt;$E$51,$D$51,IF(Q94&lt;$G$51,$F$51,IF(Q94&lt;$I$51,$H$51,IF(Q94&lt;$K$51,$J$51,IF(Q94&lt;$M$51,$L$51,IF(Q94&lt;$O$51,$N$51,$P$51))))))</f>
        <v>very unlikely</v>
      </c>
      <c r="R95" s="207"/>
      <c r="S95" s="83"/>
      <c r="T95" s="29"/>
      <c r="U95" s="29"/>
    </row>
    <row r="96" spans="2:19" s="2" customFormat="1" ht="12.75">
      <c r="B96" s="84"/>
      <c r="C96" s="66"/>
      <c r="D96" s="67"/>
      <c r="E96" s="68"/>
      <c r="F96" s="69"/>
      <c r="G96" s="65"/>
      <c r="H96" s="173">
        <f>IF(ISNUMBER(G94),IF(OR(SIGN(G94)=SIGN(H94),G94=0,H94=0),"ERROR: thresholds must be non-zero and opposite in sign.",""),"")</f>
      </c>
      <c r="I96" s="176" t="str">
        <f>IF(AND(S94&gt;$I$51/(100-$I$51)/($E$51/(100-$E$51)),OR(Q94&gt;$E$51,M94&lt;$I$51)),"Less conservative clinical decision: "&amp;M95&amp;" beneficial; consider using it, because odds ratio is &gt;"&amp;ROUND($I$51/(100-$I$51)/($E$51/(100-$E$51)),1)&amp;".","")</f>
        <v>Less conservative clinical decision: likely beneficial; consider using it, because odds ratio is &gt;66.3.</v>
      </c>
      <c r="J96" s="177"/>
      <c r="K96" s="177"/>
      <c r="L96" s="177"/>
      <c r="M96" s="178"/>
      <c r="N96" s="179"/>
      <c r="O96" s="177"/>
      <c r="P96" s="180"/>
      <c r="Q96" s="177"/>
      <c r="R96" s="177"/>
      <c r="S96" s="81"/>
    </row>
    <row r="97" spans="2:19" s="3" customFormat="1" ht="12.75" customHeight="1">
      <c r="B97" s="82"/>
      <c r="C97" s="198" t="s">
        <v>48</v>
      </c>
      <c r="D97" s="198" t="s">
        <v>47</v>
      </c>
      <c r="E97" s="198" t="s">
        <v>46</v>
      </c>
      <c r="F97" s="198" t="s">
        <v>45</v>
      </c>
      <c r="G97" s="226" t="s">
        <v>49</v>
      </c>
      <c r="H97" s="237"/>
      <c r="I97" s="228" t="s">
        <v>44</v>
      </c>
      <c r="J97" s="229"/>
      <c r="K97" s="229"/>
      <c r="L97" s="230"/>
      <c r="M97" s="208" t="s">
        <v>2</v>
      </c>
      <c r="N97" s="209"/>
      <c r="O97" s="209"/>
      <c r="P97" s="209"/>
      <c r="Q97" s="209"/>
      <c r="R97" s="210"/>
      <c r="S97" s="83"/>
    </row>
    <row r="98" spans="2:23" s="3" customFormat="1" ht="12.75" customHeight="1">
      <c r="B98" s="82"/>
      <c r="C98" s="199"/>
      <c r="D98" s="199"/>
      <c r="E98" s="199"/>
      <c r="F98" s="199"/>
      <c r="G98" s="61" t="s">
        <v>58</v>
      </c>
      <c r="H98" s="63" t="s">
        <v>59</v>
      </c>
      <c r="I98" s="234" t="str">
        <f>"value, with "&amp;F100&amp;"% compatibility interval"</f>
        <v>value, with 90% compatibility interval</v>
      </c>
      <c r="J98" s="235"/>
      <c r="K98" s="234" t="str">
        <f>"or value, with ±"&amp;F100&amp;"% compatibility limits"</f>
        <v>or value, with ±90% compatibility limits</v>
      </c>
      <c r="L98" s="235"/>
      <c r="M98" s="211" t="str">
        <f>"beneficial or
substantially "&amp;G99</f>
        <v>beneficial or
substantially ???</v>
      </c>
      <c r="N98" s="212"/>
      <c r="O98" s="215" t="s">
        <v>24</v>
      </c>
      <c r="P98" s="216"/>
      <c r="Q98" s="202" t="str">
        <f>"harmful or 
substantially "&amp;H99</f>
        <v>harmful or 
substantially ???</v>
      </c>
      <c r="R98" s="203"/>
      <c r="S98" s="261" t="s">
        <v>90</v>
      </c>
      <c r="T98" s="29"/>
      <c r="U98" s="241" t="s">
        <v>112</v>
      </c>
      <c r="V98" s="242"/>
      <c r="W98" s="243"/>
    </row>
    <row r="99" spans="2:23" s="3" customFormat="1" ht="12.75" customHeight="1">
      <c r="B99" s="82"/>
      <c r="C99" s="200"/>
      <c r="D99" s="200"/>
      <c r="E99" s="200"/>
      <c r="F99" s="200"/>
      <c r="G99" s="62" t="str">
        <f>IF(ISBLANK(G100),"???",IF(G100&lt;0,"-ive","+ive"))</f>
        <v>???</v>
      </c>
      <c r="H99" s="64" t="str">
        <f>IF(TYPE(H100)=2,"???",IF(H100&lt;0,"-ive","+ive"))</f>
        <v>???</v>
      </c>
      <c r="I99" s="236"/>
      <c r="J99" s="237"/>
      <c r="K99" s="236"/>
      <c r="L99" s="237"/>
      <c r="M99" s="213"/>
      <c r="N99" s="214"/>
      <c r="O99" s="217"/>
      <c r="P99" s="218"/>
      <c r="Q99" s="204"/>
      <c r="R99" s="205"/>
      <c r="S99" s="261"/>
      <c r="T99" s="29"/>
      <c r="U99" s="47" t="s">
        <v>27</v>
      </c>
      <c r="V99" s="47" t="s">
        <v>28</v>
      </c>
      <c r="W99" s="43" t="s">
        <v>29</v>
      </c>
    </row>
    <row r="100" spans="2:23" s="3" customFormat="1" ht="12.75" customHeight="1">
      <c r="B100" s="82"/>
      <c r="C100" s="34"/>
      <c r="D100" s="17"/>
      <c r="E100" s="35"/>
      <c r="F100" s="37">
        <f>$H$32</f>
        <v>90</v>
      </c>
      <c r="G100" s="36"/>
      <c r="H100" s="37" t="str">
        <f>IF(ISBLANK(G100)," ",-G100)</f>
        <v> </v>
      </c>
      <c r="I100" s="219" t="e">
        <f>ROUND(D100,1-INT(IF(ISERROR(LOG10(ABS(D100))),0,LOG10(ABS(D100)))))&amp;", "&amp;ROUND(U100,1-INT(IF(ISERROR(LOG10(ABS(U100))),0,LOG10(ABS(U100)))))&amp;" to "&amp;ROUND(V100,1-INT(IF(ISERROR(LOG10(ABS(V100))),0,LOG10(ABS(V100)))))</f>
        <v>#NUM!</v>
      </c>
      <c r="J100" s="220"/>
      <c r="K100" s="221" t="e">
        <f>ROUND(D100,1-INT(IF(ISERROR(LOG10(ABS(D100))),0,LOG10(ABS(D100)))))&amp;", ±"&amp;ROUND(W100,1-INT(IF(ISERROR(LOG10(ABS(W100))),0,LOG10(ABS(W100)))))</f>
        <v>#NUM!</v>
      </c>
      <c r="L100" s="222"/>
      <c r="M100" s="94" t="e">
        <f>100*IF(G100&gt;0,IF(D100-G100&gt;0,1-TDIST((D100-G100)/ABS(D100)*TINV(C100,E100),E100,1),TDIST((G100-D100)/ABS(D100)*TINV(C100,E100),E100,1)),IF(D100-G100&gt;0,TDIST((D100-G100)/ABS(D100)*TINV(C100,E100),E100,1),1-TDIST((G100-D100)/ABS(D100)*TINV(C100,E100),E100,1)))</f>
        <v>#DIV/0!</v>
      </c>
      <c r="N100" s="95" t="str">
        <f>"%"</f>
        <v>%</v>
      </c>
      <c r="O100" s="94" t="e">
        <f>100-M100-Q100</f>
        <v>#DIV/0!</v>
      </c>
      <c r="P100" s="95" t="str">
        <f>"%"</f>
        <v>%</v>
      </c>
      <c r="Q100" s="94" t="e">
        <f>100*IF(H100&gt;0,IF(D100-H100&gt;0,1-TDIST((D100-H100)/ABS(D100)*TINV(C100,E100),E100,1),TDIST((H100-D100)/ABS(D100)*TINV(C100,E100),E100,1)),IF(D100-H100&gt;0,TDIST((D100-H100)/ABS(D100)*TINV(C100,E100),E100,1),1-TDIST((H100-D100)/ABS(D100)*TINV(C100,E100),E100,1)))</f>
        <v>#VALUE!</v>
      </c>
      <c r="R100" s="95" t="str">
        <f>"%"</f>
        <v>%</v>
      </c>
      <c r="S100" s="181" t="e">
        <f>M100/(100-M100)/(Q100/(100-Q100))</f>
        <v>#DIV/0!</v>
      </c>
      <c r="T100" s="29"/>
      <c r="U100" s="161" t="e">
        <f>D100-TINV((100-F100)/100,E100)*ABS(D100)/TINV(C100,E100)</f>
        <v>#NUM!</v>
      </c>
      <c r="V100" s="161" t="e">
        <f>D100+TINV((100-F100)/100,E100)*ABS(D100)/TINV(C100,E100)</f>
        <v>#NUM!</v>
      </c>
      <c r="W100" s="162" t="e">
        <f>(V100-U100)/2</f>
        <v>#NUM!</v>
      </c>
    </row>
    <row r="101" spans="2:21" s="3" customFormat="1" ht="12.75" customHeight="1">
      <c r="B101" s="82"/>
      <c r="C101" s="223" t="e">
        <f>"Clinical decision: "&amp;IF(M100&lt;$I$51,IF(MAX(O100,Q100)=O100,O101&amp;" trivial; don't use",Q101&amp;" harmful; don't use"),IF(Q100&lt;$E$51,M101&amp;" beneficial; consider using it","unclear; don't use; get more data"))&amp;".   Non-clinical decision: "&amp;IF(MIN(M100,Q100)&gt;$G$51,"unclear; get more data",IF(M100&gt;$I$51,M101&amp;" "&amp;G99,IF(Q100&gt;$I$51,Q101&amp;" "&amp;H99,O101&amp;" trivial")))&amp;"."</f>
        <v>#DIV/0!</v>
      </c>
      <c r="D101" s="224"/>
      <c r="E101" s="224"/>
      <c r="F101" s="224"/>
      <c r="G101" s="224"/>
      <c r="H101" s="224"/>
      <c r="I101" s="224"/>
      <c r="J101" s="224"/>
      <c r="K101" s="224"/>
      <c r="L101" s="225"/>
      <c r="M101" s="206" t="e">
        <f>IF(M100&lt;$E$51,$D$51,IF(M100&lt;$G$51,$F$51,IF(M100&lt;$I$51,$H$51,IF(M100&lt;$K$51,$J$51,IF(M100&lt;$M$51,$L$51,IF(M100&lt;$O$51,$N$51,$P$51))))))</f>
        <v>#DIV/0!</v>
      </c>
      <c r="N101" s="207"/>
      <c r="O101" s="206" t="e">
        <f>IF(O100&lt;$E$51,$D$51,IF(O100&lt;$G$51,$F$51,IF(O100&lt;$I$51,$H$51,IF(O100&lt;$K$51,$J$51,IF(O100&lt;$M$51,$L$51,IF(O100&lt;$O$51,$N$51,$P$51))))))</f>
        <v>#DIV/0!</v>
      </c>
      <c r="P101" s="207"/>
      <c r="Q101" s="206" t="e">
        <f>IF(Q100&lt;$E$51,$D$51,IF(Q100&lt;$G$51,$F$51,IF(Q100&lt;$I$51,$H$51,IF(Q100&lt;$K$51,$J$51,IF(Q100&lt;$M$51,$L$51,IF(Q100&lt;$O$51,$N$51,$P$51))))))</f>
        <v>#VALUE!</v>
      </c>
      <c r="R101" s="207"/>
      <c r="S101" s="83"/>
      <c r="T101" s="29"/>
      <c r="U101" s="29"/>
    </row>
    <row r="102" spans="2:19" s="2" customFormat="1" ht="13.5" thickBot="1">
      <c r="B102" s="85"/>
      <c r="C102" s="86"/>
      <c r="D102" s="87"/>
      <c r="E102" s="88"/>
      <c r="F102" s="89"/>
      <c r="G102" s="86"/>
      <c r="H102" s="172">
        <f>IF(ISNUMBER(G100),IF(OR(SIGN(G100)=SIGN(H100),G100=0,H100=0),"ERROR: thresholds must be non-zero and opposite in sign.",""),"")</f>
      </c>
      <c r="I102" s="182" t="e">
        <f>IF(AND(S100&gt;$I$51/(100-$I$51)/($E$51/(100-$E$51)),OR(Q100&gt;$E$51,M100&lt;$I$51)),"Less conservative clinical decision: "&amp;M101&amp;" beneficial; consider using it, because odds ratio is &gt;"&amp;ROUND($I$51/(100-$I$51)/($E$51/(100-$E$51)),1)&amp;".","")</f>
        <v>#DIV/0!</v>
      </c>
      <c r="J102" s="183"/>
      <c r="K102" s="183"/>
      <c r="L102" s="183"/>
      <c r="M102" s="184"/>
      <c r="N102" s="185"/>
      <c r="O102" s="183"/>
      <c r="P102" s="186"/>
      <c r="Q102" s="183"/>
      <c r="R102" s="183"/>
      <c r="S102" s="90"/>
    </row>
    <row r="103" spans="3:17" ht="13.5" thickBot="1">
      <c r="C103" s="33"/>
      <c r="F103" s="12"/>
      <c r="M103" s="13"/>
      <c r="N103" s="2"/>
      <c r="P103" s="14"/>
      <c r="Q103" s="1"/>
    </row>
    <row r="104" spans="2:19" s="4" customFormat="1" ht="15">
      <c r="B104" s="131" t="s">
        <v>82</v>
      </c>
      <c r="C104" s="132"/>
      <c r="D104" s="132"/>
      <c r="E104" s="132"/>
      <c r="F104" s="132"/>
      <c r="G104" s="132"/>
      <c r="H104" s="132"/>
      <c r="I104" s="132"/>
      <c r="J104" s="132"/>
      <c r="K104" s="132"/>
      <c r="L104" s="132"/>
      <c r="M104" s="132"/>
      <c r="N104" s="132"/>
      <c r="O104" s="132"/>
      <c r="P104" s="132"/>
      <c r="Q104" s="132"/>
      <c r="R104" s="132"/>
      <c r="S104" s="133"/>
    </row>
    <row r="105" spans="1:20" ht="12.75" customHeight="1">
      <c r="A105" s="148"/>
      <c r="B105" s="2" t="s">
        <v>75</v>
      </c>
      <c r="D105" s="4"/>
      <c r="E105" s="4"/>
      <c r="F105" s="4"/>
      <c r="G105" s="4"/>
      <c r="H105" s="4"/>
      <c r="I105" s="4"/>
      <c r="J105" s="4"/>
      <c r="K105" s="4"/>
      <c r="L105" s="4"/>
      <c r="M105" s="4"/>
      <c r="N105" s="4"/>
      <c r="O105" s="4"/>
      <c r="P105" s="4"/>
      <c r="Q105" s="4"/>
      <c r="R105" s="4"/>
      <c r="S105" s="71"/>
      <c r="T105" s="143"/>
    </row>
    <row r="106" spans="2:19" s="4" customFormat="1" ht="14.25">
      <c r="B106" s="74"/>
      <c r="C106" s="2" t="s">
        <v>87</v>
      </c>
      <c r="S106" s="71"/>
    </row>
    <row r="107" spans="2:19" ht="12.75">
      <c r="B107" s="72"/>
      <c r="C107" s="2" t="s">
        <v>14</v>
      </c>
      <c r="D107" s="2"/>
      <c r="E107" s="2"/>
      <c r="F107" s="2"/>
      <c r="G107" s="2"/>
      <c r="H107" s="2"/>
      <c r="I107" s="2"/>
      <c r="J107" s="2"/>
      <c r="K107" s="2"/>
      <c r="L107" s="2"/>
      <c r="M107" s="2"/>
      <c r="N107" s="2"/>
      <c r="O107" s="2"/>
      <c r="P107" s="2"/>
      <c r="S107" s="75"/>
    </row>
    <row r="108" spans="2:19" s="5" customFormat="1" ht="12.75">
      <c r="B108" s="74"/>
      <c r="C108" s="2" t="s">
        <v>88</v>
      </c>
      <c r="D108" s="6"/>
      <c r="E108" s="6"/>
      <c r="F108" s="6"/>
      <c r="G108" s="6"/>
      <c r="H108" s="6"/>
      <c r="I108" s="6"/>
      <c r="J108" s="6"/>
      <c r="K108" s="6"/>
      <c r="L108" s="6"/>
      <c r="M108" s="6"/>
      <c r="N108" s="6"/>
      <c r="O108" s="6"/>
      <c r="P108" s="6"/>
      <c r="Q108" s="6"/>
      <c r="R108" s="6"/>
      <c r="S108" s="73"/>
    </row>
    <row r="109" spans="1:20" ht="12.75" customHeight="1">
      <c r="A109" s="148"/>
      <c r="B109" s="2" t="s">
        <v>76</v>
      </c>
      <c r="D109" s="4"/>
      <c r="E109" s="4"/>
      <c r="F109" s="4"/>
      <c r="G109" s="4"/>
      <c r="H109" s="4"/>
      <c r="I109" s="4"/>
      <c r="J109" s="4"/>
      <c r="K109" s="4"/>
      <c r="L109" s="4"/>
      <c r="M109" s="4"/>
      <c r="N109" s="4"/>
      <c r="O109" s="4"/>
      <c r="P109" s="4"/>
      <c r="Q109" s="4"/>
      <c r="S109" s="75"/>
      <c r="T109" s="143"/>
    </row>
    <row r="110" spans="1:20" ht="12.75" customHeight="1">
      <c r="A110" s="148"/>
      <c r="B110" s="2"/>
      <c r="C110" s="1" t="s">
        <v>72</v>
      </c>
      <c r="D110" s="4"/>
      <c r="E110" s="4"/>
      <c r="F110" s="4"/>
      <c r="G110" s="4"/>
      <c r="H110" s="4"/>
      <c r="I110" s="4"/>
      <c r="J110" s="4"/>
      <c r="K110" s="4"/>
      <c r="L110" s="4"/>
      <c r="M110" s="4"/>
      <c r="N110" s="4"/>
      <c r="O110" s="4"/>
      <c r="P110" s="4"/>
      <c r="Q110" s="4"/>
      <c r="S110" s="75"/>
      <c r="T110" s="143"/>
    </row>
    <row r="111" spans="1:20" ht="12.75" customHeight="1">
      <c r="A111" s="148"/>
      <c r="B111" s="2"/>
      <c r="C111" s="1" t="s">
        <v>77</v>
      </c>
      <c r="D111" s="4"/>
      <c r="E111" s="4"/>
      <c r="F111" s="4"/>
      <c r="G111" s="4"/>
      <c r="H111" s="4"/>
      <c r="I111" s="4"/>
      <c r="J111" s="4"/>
      <c r="K111" s="4"/>
      <c r="L111" s="4"/>
      <c r="M111" s="4"/>
      <c r="N111" s="4"/>
      <c r="O111" s="4"/>
      <c r="P111" s="4"/>
      <c r="Q111" s="4"/>
      <c r="S111" s="75"/>
      <c r="T111" s="143"/>
    </row>
    <row r="112" spans="1:20" ht="12.75" customHeight="1">
      <c r="A112" s="148"/>
      <c r="B112" s="2"/>
      <c r="C112" s="1" t="s">
        <v>164</v>
      </c>
      <c r="D112" s="4"/>
      <c r="E112" s="4"/>
      <c r="F112" s="4"/>
      <c r="G112" s="4"/>
      <c r="H112" s="4"/>
      <c r="I112" s="4"/>
      <c r="J112" s="4"/>
      <c r="K112" s="4"/>
      <c r="L112" s="4"/>
      <c r="M112" s="4"/>
      <c r="N112" s="4"/>
      <c r="O112" s="4"/>
      <c r="P112" s="4"/>
      <c r="Q112" s="4"/>
      <c r="S112" s="75"/>
      <c r="T112" s="143"/>
    </row>
    <row r="113" spans="2:19" s="4" customFormat="1" ht="14.25">
      <c r="B113" s="74" t="s">
        <v>135</v>
      </c>
      <c r="C113" s="2"/>
      <c r="S113" s="71"/>
    </row>
    <row r="114" spans="2:19" s="4" customFormat="1" ht="14.25">
      <c r="B114" s="74"/>
      <c r="C114" s="2" t="s">
        <v>130</v>
      </c>
      <c r="S114" s="71"/>
    </row>
    <row r="115" spans="2:19" s="4" customFormat="1" ht="14.25">
      <c r="B115" s="74"/>
      <c r="C115" s="2" t="s">
        <v>131</v>
      </c>
      <c r="S115" s="71"/>
    </row>
    <row r="116" spans="2:19" s="4" customFormat="1" ht="14.25">
      <c r="B116" s="91"/>
      <c r="C116" s="2" t="s">
        <v>129</v>
      </c>
      <c r="S116" s="71"/>
    </row>
    <row r="117" spans="2:19" s="4" customFormat="1" ht="14.25">
      <c r="B117" s="91"/>
      <c r="C117" s="2" t="s">
        <v>125</v>
      </c>
      <c r="S117" s="71"/>
    </row>
    <row r="118" spans="2:20" ht="12.75" customHeight="1">
      <c r="B118" s="121" t="s">
        <v>73</v>
      </c>
      <c r="D118" s="6"/>
      <c r="E118" s="6"/>
      <c r="F118" s="6"/>
      <c r="G118" s="6"/>
      <c r="H118" s="6"/>
      <c r="I118" s="6"/>
      <c r="J118" s="6"/>
      <c r="K118" s="6"/>
      <c r="L118" s="6"/>
      <c r="M118" s="6"/>
      <c r="N118" s="6"/>
      <c r="O118" s="6"/>
      <c r="P118" s="6"/>
      <c r="Q118" s="6"/>
      <c r="R118" s="142"/>
      <c r="S118" s="148"/>
      <c r="T118" s="143"/>
    </row>
    <row r="119" spans="2:23" s="7" customFormat="1" ht="12.75">
      <c r="B119" s="76"/>
      <c r="C119" s="77"/>
      <c r="D119" s="8"/>
      <c r="E119" s="8"/>
      <c r="F119" s="8"/>
      <c r="G119" s="8"/>
      <c r="H119" s="8"/>
      <c r="I119" s="8"/>
      <c r="J119" s="8"/>
      <c r="K119" s="8"/>
      <c r="L119" s="8"/>
      <c r="M119" s="8"/>
      <c r="N119" s="8"/>
      <c r="O119" s="8"/>
      <c r="P119" s="8"/>
      <c r="Q119" s="8"/>
      <c r="R119" s="8"/>
      <c r="S119" s="78"/>
      <c r="U119" s="1"/>
      <c r="V119" s="1"/>
      <c r="W119" s="1"/>
    </row>
    <row r="120" spans="2:21" ht="12.75">
      <c r="B120" s="79"/>
      <c r="C120" s="65"/>
      <c r="D120" s="80"/>
      <c r="E120" s="65"/>
      <c r="F120" s="65"/>
      <c r="G120" s="65"/>
      <c r="H120" s="65"/>
      <c r="I120" s="244" t="s">
        <v>96</v>
      </c>
      <c r="J120" s="244"/>
      <c r="K120" s="244"/>
      <c r="L120" s="244"/>
      <c r="M120" s="65"/>
      <c r="N120" s="65"/>
      <c r="O120" s="65"/>
      <c r="P120" s="65"/>
      <c r="Q120" s="65"/>
      <c r="R120" s="65"/>
      <c r="S120" s="81"/>
      <c r="U120" s="21" t="s">
        <v>95</v>
      </c>
    </row>
    <row r="121" spans="2:26" s="3" customFormat="1" ht="12.75" customHeight="1">
      <c r="B121" s="82"/>
      <c r="C121" s="198" t="s">
        <v>48</v>
      </c>
      <c r="D121" s="198" t="s">
        <v>74</v>
      </c>
      <c r="E121" s="198" t="s">
        <v>46</v>
      </c>
      <c r="F121" s="198" t="s">
        <v>45</v>
      </c>
      <c r="G121" s="226" t="s">
        <v>49</v>
      </c>
      <c r="H121" s="227"/>
      <c r="I121" s="228" t="s">
        <v>44</v>
      </c>
      <c r="J121" s="229"/>
      <c r="K121" s="229"/>
      <c r="L121" s="230"/>
      <c r="M121" s="208" t="s">
        <v>2</v>
      </c>
      <c r="N121" s="209"/>
      <c r="O121" s="209"/>
      <c r="P121" s="209"/>
      <c r="Q121" s="209"/>
      <c r="R121" s="210"/>
      <c r="S121" s="83"/>
      <c r="U121" s="160" t="s">
        <v>94</v>
      </c>
      <c r="V121" s="160" t="s">
        <v>94</v>
      </c>
      <c r="W121" s="160" t="s">
        <v>94</v>
      </c>
      <c r="X121" s="1"/>
      <c r="Y121" s="238" t="s">
        <v>68</v>
      </c>
      <c r="Z121" s="248"/>
    </row>
    <row r="122" spans="2:26" s="3" customFormat="1" ht="12.75" customHeight="1">
      <c r="B122" s="82"/>
      <c r="C122" s="199"/>
      <c r="D122" s="199"/>
      <c r="E122" s="199"/>
      <c r="F122" s="199"/>
      <c r="G122" s="61" t="s">
        <v>58</v>
      </c>
      <c r="H122" s="63" t="s">
        <v>59</v>
      </c>
      <c r="I122" s="234" t="str">
        <f>"value, with "&amp;F124&amp;"% compatibility interval"</f>
        <v>value, with 90% compatibility interval</v>
      </c>
      <c r="J122" s="235"/>
      <c r="K122" s="234" t="str">
        <f>"or value, with ×/÷"&amp;F124&amp;"% compatibility limits"</f>
        <v>or value, with ×/÷90% compatibility limits</v>
      </c>
      <c r="L122" s="235"/>
      <c r="M122" s="211" t="str">
        <f>"beneficial or
substantially "&amp;G123</f>
        <v>beneficial or
substantially &gt;</v>
      </c>
      <c r="N122" s="212"/>
      <c r="O122" s="215" t="s">
        <v>24</v>
      </c>
      <c r="P122" s="216"/>
      <c r="Q122" s="202" t="str">
        <f>"harmful or 
substantially "&amp;H123</f>
        <v>harmful or 
substantially &lt;</v>
      </c>
      <c r="R122" s="203"/>
      <c r="S122" s="201" t="s">
        <v>90</v>
      </c>
      <c r="T122" s="29"/>
      <c r="U122" s="241" t="s">
        <v>112</v>
      </c>
      <c r="V122" s="242"/>
      <c r="W122" s="243"/>
      <c r="X122" s="15" t="s">
        <v>30</v>
      </c>
      <c r="Y122" s="249"/>
      <c r="Z122" s="250"/>
    </row>
    <row r="123" spans="2:26" s="3" customFormat="1" ht="12.75" customHeight="1">
      <c r="B123" s="82"/>
      <c r="C123" s="200"/>
      <c r="D123" s="200"/>
      <c r="E123" s="200"/>
      <c r="F123" s="200"/>
      <c r="G123" s="62" t="str">
        <f>IF(ISBLANK(G124),"???",IF(G124&lt;1,"&lt;","&gt;"))</f>
        <v>&gt;</v>
      </c>
      <c r="H123" s="64" t="str">
        <f>IF(TYPE(H124)=2,"???",IF(H124&lt;1,"&lt;","&gt;"))</f>
        <v>&lt;</v>
      </c>
      <c r="I123" s="236"/>
      <c r="J123" s="237"/>
      <c r="K123" s="236"/>
      <c r="L123" s="237"/>
      <c r="M123" s="213"/>
      <c r="N123" s="214"/>
      <c r="O123" s="217"/>
      <c r="P123" s="218"/>
      <c r="Q123" s="204"/>
      <c r="R123" s="205"/>
      <c r="S123" s="201"/>
      <c r="T123" s="29"/>
      <c r="U123" s="47" t="s">
        <v>27</v>
      </c>
      <c r="V123" s="47" t="s">
        <v>28</v>
      </c>
      <c r="W123" s="15" t="s">
        <v>51</v>
      </c>
      <c r="X123" s="16" t="s">
        <v>50</v>
      </c>
      <c r="Y123" s="40" t="s">
        <v>32</v>
      </c>
      <c r="Z123" s="41" t="s">
        <v>33</v>
      </c>
    </row>
    <row r="124" spans="2:26" s="3" customFormat="1" ht="12.75" customHeight="1">
      <c r="B124" s="82"/>
      <c r="C124" s="34">
        <v>0.1</v>
      </c>
      <c r="D124" s="17">
        <v>1.3</v>
      </c>
      <c r="E124" s="35">
        <v>18</v>
      </c>
      <c r="F124" s="37">
        <f>$H$32</f>
        <v>90</v>
      </c>
      <c r="G124" s="155">
        <v>1.15</v>
      </c>
      <c r="H124" s="156">
        <f>IF(ISBLANK(G124),"",1/G124)</f>
        <v>0.8695652173913044</v>
      </c>
      <c r="I124" s="219" t="str">
        <f>ROUND(D124,1-INT(IF(ISERROR(LOG10(ABS(D124))),0,LOG10(ABS(D124)))))&amp;", "&amp;ROUND(U124,1-INT(IF(ISERROR(LOG10(ABS(U124))),0,LOG10(ABS(U124)))))&amp;" to "&amp;ROUND(V124,1-INT(IF(ISERROR(LOG10(ABS(V124))),0,LOG10(ABS(V124)))))</f>
        <v>1.3, 1 to 1.7</v>
      </c>
      <c r="J124" s="220"/>
      <c r="K124" s="221" t="str">
        <f>ROUND(D124,1-INT(IF(ISERROR(LOG10(ABS(D124))),0,LOG10(ABS(D124)))))&amp;", ×/÷"&amp;ROUND(W124,1-INT(IF(ISERROR(LOG10(ABS(W124))),0,LOG10(ABS(W124)))))</f>
        <v>1.3, ×/÷1.3</v>
      </c>
      <c r="L124" s="222"/>
      <c r="M124" s="94">
        <f>100*IF(Y124&gt;0,IF(X124-Y124&gt;0,1-TDIST((X124-Y124)/ABS(X124)*TINV(C124,E124),E124,1),TDIST((Y124-X124)/ABS(X124)*TINV(C124,E124),E124,1)),IF(X124-Y124&gt;0,TDIST((X124-Y124)/ABS(X124)*TINV(C124,E124),E124,1),1-TDIST((Y124-X124)/ABS(X124)*TINV(C124,E124),E124,1)))</f>
        <v>78.5831253749714</v>
      </c>
      <c r="N124" s="95" t="str">
        <f>"%"</f>
        <v>%</v>
      </c>
      <c r="O124" s="94">
        <f>100-M124-Q124</f>
        <v>20.615755327564774</v>
      </c>
      <c r="P124" s="95" t="str">
        <f>"%"</f>
        <v>%</v>
      </c>
      <c r="Q124" s="94">
        <f>100*IF(Z124&gt;0,IF(X124-Z124&gt;0,1-TDIST((X124-Z124)/ABS(X124)*TINV(C124,E124),E124,1),TDIST((Z124-X124)/ABS(X124)*TINV(C124,E124),E124,1)),IF(X124-Z124&gt;0,TDIST((X124-Z124)/ABS(X124)*TINV(C124,E124),E124,1),1-TDIST((Z124-X124)/ABS(X124)*TINV(C124,E124),E124,1)))</f>
        <v>0.801119297463825</v>
      </c>
      <c r="R124" s="95" t="str">
        <f>"%"</f>
        <v>%</v>
      </c>
      <c r="S124" s="154">
        <f>M124/(100-M124)/(Q124/(100-Q124))</f>
        <v>454.3418915199058</v>
      </c>
      <c r="T124" s="29"/>
      <c r="U124" s="161">
        <f>EXP(LN(D124)-TINV((100-F124)/100,E124)*ABS(LN(D124))/TINV(C124,E124))</f>
        <v>1</v>
      </c>
      <c r="V124" s="161">
        <f>EXP(LN(D124)+TINV((100-F124)/100,E124)*ABS(LN(D124))/TINV(C124,E124))</f>
        <v>1.69</v>
      </c>
      <c r="W124" s="162">
        <f>SQRT(V124/U124)</f>
        <v>1.3</v>
      </c>
      <c r="X124" s="39">
        <f>LN(D124)</f>
        <v>0.26236426446749106</v>
      </c>
      <c r="Y124" s="39">
        <f>LN(G124)</f>
        <v>0.13976194237515863</v>
      </c>
      <c r="Z124" s="39">
        <f>LN(H124)</f>
        <v>-0.1397619423751586</v>
      </c>
    </row>
    <row r="125" spans="2:21" s="3" customFormat="1" ht="12.75" customHeight="1">
      <c r="B125" s="82"/>
      <c r="C125" s="223" t="str">
        <f>"Clinical decision: "&amp;IF(M124&lt;$I$51,IF(MAX(O124,Q124)=O124,O125&amp;" trivial; don't use",Q125&amp;" harmful; don't use"),IF(Q124&lt;$E$51,M125&amp;" beneficial; consider using it","unclear; don't use; get more data"))&amp;".   Non-clinical decision: "&amp;IF(MIN(M124,Q124)&gt;$G$51,"unclear; get more data",IF(M124&gt;$I$51,M125&amp;" "&amp;G123,IF(Q124&gt;$I$51,Q125&amp;" "&amp;H123,O125&amp;" trivial")))&amp;"."</f>
        <v>Clinical decision: unclear; don't use; get more data.   Non-clinical decision: likely &gt;.</v>
      </c>
      <c r="D125" s="224"/>
      <c r="E125" s="224"/>
      <c r="F125" s="224"/>
      <c r="G125" s="224"/>
      <c r="H125" s="224"/>
      <c r="I125" s="224"/>
      <c r="J125" s="224"/>
      <c r="K125" s="224"/>
      <c r="L125" s="225"/>
      <c r="M125" s="206" t="str">
        <f>IF(M124&lt;$E$51,$D$51,IF(M124&lt;$G$51,$F$51,IF(M124&lt;$I$51,$H$51,IF(M124&lt;$K$51,$J$51,IF(M124&lt;$M$51,$L$51,IF(M124&lt;$O$51,$N$51,$P$51))))))</f>
        <v>likely</v>
      </c>
      <c r="N125" s="207"/>
      <c r="O125" s="206" t="str">
        <f>IF(O124&lt;$E$51,$D$51,IF(O124&lt;$G$51,$F$51,IF(O124&lt;$I$51,$H$51,IF(O124&lt;$K$51,$J$51,IF(O124&lt;$M$51,$L$51,IF(O124&lt;$O$51,$N$51,$P$51))))))</f>
        <v>unlikely</v>
      </c>
      <c r="P125" s="207"/>
      <c r="Q125" s="206" t="str">
        <f>IF(Q124&lt;$E$51,$D$51,IF(Q124&lt;$G$51,$F$51,IF(Q124&lt;$I$51,$H$51,IF(Q124&lt;$K$51,$J$51,IF(Q124&lt;$M$51,$L$51,IF(Q124&lt;$O$51,$N$51,$P$51))))))</f>
        <v>very unlikely</v>
      </c>
      <c r="R125" s="207"/>
      <c r="S125" s="83"/>
      <c r="T125" s="29"/>
      <c r="U125" s="29"/>
    </row>
    <row r="126" spans="2:19" ht="12.75">
      <c r="B126" s="79"/>
      <c r="C126" s="65"/>
      <c r="D126" s="80"/>
      <c r="E126" s="65"/>
      <c r="F126" s="65"/>
      <c r="G126" s="65"/>
      <c r="H126" s="173">
        <f>IF(ISNUMBER(G124),IF(OR(G124&lt;=0,H124&lt;=0,G124=1,H124=1),"ERROR: thresholds must be positive and &gt;1 or &lt;1",IF(OR(AND(G124&gt;1,H124&gt;1),AND(G124&lt;1,H124&lt;1)),"ERROR: thresholds must span 1.00.","")),"")</f>
      </c>
      <c r="I126" s="176" t="str">
        <f>IF(AND(S124&gt;$I$51/(100-$I$51)/($E$51/(100-$E$51)),OR(Q124&gt;$E$51,M124&lt;$I$51)),"Less conservative clinical decision: "&amp;M125&amp;" beneficial; consider using it, because odds ratio is &gt;"&amp;ROUND($I$51/(100-$I$51)/($E$51/(100-$E$51)),1)&amp;".","")</f>
        <v>Less conservative clinical decision: likely beneficial; consider using it, because odds ratio is &gt;66.3.</v>
      </c>
      <c r="J126" s="177"/>
      <c r="K126" s="177"/>
      <c r="L126" s="177"/>
      <c r="M126" s="178"/>
      <c r="N126" s="179"/>
      <c r="O126" s="177"/>
      <c r="P126" s="180"/>
      <c r="Q126" s="177"/>
      <c r="R126" s="177"/>
      <c r="S126" s="81"/>
    </row>
    <row r="127" spans="2:26" s="3" customFormat="1" ht="12.75" customHeight="1">
      <c r="B127" s="82"/>
      <c r="C127" s="198" t="s">
        <v>48</v>
      </c>
      <c r="D127" s="198" t="s">
        <v>74</v>
      </c>
      <c r="E127" s="198" t="s">
        <v>46</v>
      </c>
      <c r="F127" s="198" t="s">
        <v>45</v>
      </c>
      <c r="G127" s="226" t="s">
        <v>49</v>
      </c>
      <c r="H127" s="227"/>
      <c r="I127" s="228" t="s">
        <v>44</v>
      </c>
      <c r="J127" s="229"/>
      <c r="K127" s="229"/>
      <c r="L127" s="230"/>
      <c r="M127" s="208" t="s">
        <v>2</v>
      </c>
      <c r="N127" s="209"/>
      <c r="O127" s="209"/>
      <c r="P127" s="209"/>
      <c r="Q127" s="209"/>
      <c r="R127" s="210"/>
      <c r="S127" s="83"/>
      <c r="X127" s="1"/>
      <c r="Y127" s="238" t="s">
        <v>68</v>
      </c>
      <c r="Z127" s="248"/>
    </row>
    <row r="128" spans="2:26" s="3" customFormat="1" ht="12.75" customHeight="1">
      <c r="B128" s="82"/>
      <c r="C128" s="199"/>
      <c r="D128" s="199"/>
      <c r="E128" s="199"/>
      <c r="F128" s="199"/>
      <c r="G128" s="61" t="s">
        <v>58</v>
      </c>
      <c r="H128" s="63" t="s">
        <v>59</v>
      </c>
      <c r="I128" s="234" t="str">
        <f>"value, with "&amp;F130&amp;"% compatibility interval"</f>
        <v>value, with 90% compatibility interval</v>
      </c>
      <c r="J128" s="235"/>
      <c r="K128" s="234" t="str">
        <f>"or value, with ×/÷"&amp;F130&amp;"% compatibility limits"</f>
        <v>or value, with ×/÷90% compatibility limits</v>
      </c>
      <c r="L128" s="235"/>
      <c r="M128" s="211" t="str">
        <f>"beneficial or
substantially "&amp;G129</f>
        <v>beneficial or
substantially ???</v>
      </c>
      <c r="N128" s="212"/>
      <c r="O128" s="215" t="s">
        <v>24</v>
      </c>
      <c r="P128" s="216"/>
      <c r="Q128" s="202" t="str">
        <f>"harmful or 
substantially "&amp;H129</f>
        <v>harmful or 
substantially ???</v>
      </c>
      <c r="R128" s="203"/>
      <c r="S128" s="201" t="s">
        <v>90</v>
      </c>
      <c r="T128" s="29"/>
      <c r="U128" s="241" t="s">
        <v>112</v>
      </c>
      <c r="V128" s="242"/>
      <c r="W128" s="243"/>
      <c r="X128" s="15" t="s">
        <v>30</v>
      </c>
      <c r="Y128" s="249"/>
      <c r="Z128" s="250"/>
    </row>
    <row r="129" spans="2:26" s="3" customFormat="1" ht="12.75" customHeight="1">
      <c r="B129" s="82"/>
      <c r="C129" s="200"/>
      <c r="D129" s="200"/>
      <c r="E129" s="200"/>
      <c r="F129" s="200"/>
      <c r="G129" s="62" t="str">
        <f>IF(ISBLANK(G130),"???",IF(G130&lt;1,"&lt;","&gt;"))</f>
        <v>???</v>
      </c>
      <c r="H129" s="64" t="str">
        <f>IF(TYPE(H130)=2,"???",IF(H130&lt;1,"&lt;","&gt;"))</f>
        <v>???</v>
      </c>
      <c r="I129" s="236"/>
      <c r="J129" s="237"/>
      <c r="K129" s="236"/>
      <c r="L129" s="237"/>
      <c r="M129" s="213"/>
      <c r="N129" s="214"/>
      <c r="O129" s="217"/>
      <c r="P129" s="218"/>
      <c r="Q129" s="204"/>
      <c r="R129" s="205"/>
      <c r="S129" s="201"/>
      <c r="T129" s="29"/>
      <c r="U129" s="47" t="s">
        <v>27</v>
      </c>
      <c r="V129" s="47" t="s">
        <v>28</v>
      </c>
      <c r="W129" s="15" t="s">
        <v>51</v>
      </c>
      <c r="X129" s="16" t="s">
        <v>50</v>
      </c>
      <c r="Y129" s="40" t="s">
        <v>32</v>
      </c>
      <c r="Z129" s="41" t="s">
        <v>33</v>
      </c>
    </row>
    <row r="130" spans="2:26" s="3" customFormat="1" ht="12.75" customHeight="1">
      <c r="B130" s="82"/>
      <c r="C130" s="34"/>
      <c r="D130" s="17"/>
      <c r="E130" s="35"/>
      <c r="F130" s="37">
        <f>$H$32</f>
        <v>90</v>
      </c>
      <c r="G130" s="155"/>
      <c r="H130" s="156">
        <f>IF(ISBLANK(G130),"",1/G130)</f>
      </c>
      <c r="I130" s="219" t="e">
        <f>ROUND(D130,1-INT(IF(ISERROR(LOG10(ABS(D130))),0,LOG10(ABS(D130)))))&amp;", "&amp;ROUND(U130,1-INT(IF(ISERROR(LOG10(ABS(U130))),0,LOG10(ABS(U130)))))&amp;" to "&amp;ROUND(V130,1-INT(IF(ISERROR(LOG10(ABS(V130))),0,LOG10(ABS(V130)))))</f>
        <v>#NUM!</v>
      </c>
      <c r="J130" s="220"/>
      <c r="K130" s="221" t="e">
        <f>ROUND(D130,1-INT(IF(ISERROR(LOG10(ABS(D130))),0,LOG10(ABS(D130)))))&amp;", ×/÷"&amp;ROUND(W130,1-INT(IF(ISERROR(LOG10(ABS(W130))),0,LOG10(ABS(W130)))))</f>
        <v>#NUM!</v>
      </c>
      <c r="L130" s="222"/>
      <c r="M130" s="94" t="e">
        <f>100*IF(Y130&gt;0,IF(X130-Y130&gt;0,1-TDIST((X130-Y130)/ABS(X130)*TINV(C130,E130),E130,1),TDIST((Y130-X130)/ABS(X130)*TINV(C130,E130),E130,1)),IF(X130-Y130&gt;0,TDIST((X130-Y130)/ABS(X130)*TINV(C130,E130),E130,1),1-TDIST((Y130-X130)/ABS(X130)*TINV(C130,E130),E130,1)))</f>
        <v>#NUM!</v>
      </c>
      <c r="N130" s="95" t="str">
        <f>"%"</f>
        <v>%</v>
      </c>
      <c r="O130" s="94" t="e">
        <f>100-M130-Q130</f>
        <v>#NUM!</v>
      </c>
      <c r="P130" s="95" t="str">
        <f>"%"</f>
        <v>%</v>
      </c>
      <c r="Q130" s="94" t="e">
        <f>100*IF(Z130&gt;0,IF(X130-Z130&gt;0,1-TDIST((X130-Z130)/ABS(X130)*TINV(C130,E130),E130,1),TDIST((Z130-X130)/ABS(X130)*TINV(C130,E130),E130,1)),IF(X130-Z130&gt;0,TDIST((X130-Z130)/ABS(X130)*TINV(C130,E130),E130,1),1-TDIST((Z130-X130)/ABS(X130)*TINV(C130,E130),E130,1)))</f>
        <v>#VALUE!</v>
      </c>
      <c r="R130" s="95" t="str">
        <f>"%"</f>
        <v>%</v>
      </c>
      <c r="S130" s="154" t="e">
        <f>M130/(100-M130)/(Q130/(100-Q130))</f>
        <v>#NUM!</v>
      </c>
      <c r="T130" s="29"/>
      <c r="U130" s="161" t="e">
        <f>EXP(LN(D130)-TINV((100-F130)/100,E130)*ABS(LN(D130))/TINV(C130,E130))</f>
        <v>#NUM!</v>
      </c>
      <c r="V130" s="161" t="e">
        <f>EXP(LN(D130)+TINV((100-F130)/100,E130)*ABS(LN(D130))/TINV(C130,E130))</f>
        <v>#NUM!</v>
      </c>
      <c r="W130" s="162" t="e">
        <f>SQRT(V130/U130)</f>
        <v>#NUM!</v>
      </c>
      <c r="X130" s="163" t="e">
        <f>LN(D130)</f>
        <v>#NUM!</v>
      </c>
      <c r="Y130" s="39" t="e">
        <f>LN(G130)</f>
        <v>#NUM!</v>
      </c>
      <c r="Z130" s="39" t="e">
        <f>LN(H130)</f>
        <v>#VALUE!</v>
      </c>
    </row>
    <row r="131" spans="2:21" s="3" customFormat="1" ht="12.75" customHeight="1">
      <c r="B131" s="82"/>
      <c r="C131" s="223" t="e">
        <f>"Clinical decision: "&amp;IF(M130&lt;$I$51,IF(MAX(O130,Q130)=O130,O131&amp;" trivial; don't use",Q131&amp;" harmful; don't use"),IF(Q130&lt;$E$51,M131&amp;" beneficial; consider using it","unclear; don't use; get more data"))&amp;".   Non-clinical decision: "&amp;IF(MIN(M130,Q130)&gt;$G$51,"unclear; get more data",IF(M130&gt;$I$51,M131&amp;" "&amp;G129,IF(Q130&gt;$I$51,Q131&amp;" "&amp;H129,O131&amp;" trivial")))&amp;"."</f>
        <v>#NUM!</v>
      </c>
      <c r="D131" s="224"/>
      <c r="E131" s="224"/>
      <c r="F131" s="224"/>
      <c r="G131" s="224"/>
      <c r="H131" s="224"/>
      <c r="I131" s="224"/>
      <c r="J131" s="224"/>
      <c r="K131" s="224"/>
      <c r="L131" s="225"/>
      <c r="M131" s="206" t="e">
        <f>IF(M130&lt;$E$51,$D$51,IF(M130&lt;$G$51,$F$51,IF(M130&lt;$I$51,$H$51,IF(M130&lt;$K$51,$J$51,IF(M130&lt;$M$51,$L$51,IF(M130&lt;$O$51,$N$51,$P$51))))))</f>
        <v>#NUM!</v>
      </c>
      <c r="N131" s="207"/>
      <c r="O131" s="206" t="e">
        <f>IF(O130&lt;$E$51,$D$51,IF(O130&lt;$G$51,$F$51,IF(O130&lt;$I$51,$H$51,IF(O130&lt;$K$51,$J$51,IF(O130&lt;$M$51,$L$51,IF(O130&lt;$O$51,$N$51,$P$51))))))</f>
        <v>#NUM!</v>
      </c>
      <c r="P131" s="207"/>
      <c r="Q131" s="206" t="e">
        <f>IF(Q130&lt;$E$51,$D$51,IF(Q130&lt;$G$51,$F$51,IF(Q130&lt;$I$51,$H$51,IF(Q130&lt;$K$51,$J$51,IF(Q130&lt;$M$51,$L$51,IF(Q130&lt;$O$51,$N$51,$P$51))))))</f>
        <v>#VALUE!</v>
      </c>
      <c r="R131" s="207"/>
      <c r="S131" s="83"/>
      <c r="T131" s="29"/>
      <c r="U131" s="29"/>
    </row>
    <row r="132" spans="2:19" s="2" customFormat="1" ht="13.5" thickBot="1">
      <c r="B132" s="85"/>
      <c r="C132" s="86"/>
      <c r="D132" s="87"/>
      <c r="E132" s="88"/>
      <c r="F132" s="89"/>
      <c r="G132" s="86"/>
      <c r="H132" s="172">
        <f>IF(ISNUMBER(G130),IF(OR(G130&lt;=0,H130&lt;=0,G130=1,H130=1),"ERROR: thresholds must be positive and &gt;1 or &lt;1",IF(OR(AND(G130&gt;1,H130&gt;1),AND(G130&lt;1,H130&lt;1)),"ERROR: thresholds must span 1.00.","")),"")</f>
      </c>
      <c r="I132" s="182" t="e">
        <f>IF(AND(S130&gt;$I$51/(100-$I$51)/($E$51/(100-$E$51)),OR(Q130&gt;$E$51,M130&lt;$I$51)),"Less conservative clinical decision: "&amp;M131&amp;" beneficial; consider using it, because odds ratio is &gt;"&amp;ROUND($I$51/(100-$I$51)/($E$51/(100-$E$51)),1)&amp;".","")</f>
        <v>#NUM!</v>
      </c>
      <c r="J132" s="183"/>
      <c r="K132" s="183"/>
      <c r="L132" s="183"/>
      <c r="M132" s="184"/>
      <c r="N132" s="185"/>
      <c r="O132" s="183"/>
      <c r="P132" s="186"/>
      <c r="Q132" s="183"/>
      <c r="R132" s="183"/>
      <c r="S132" s="90"/>
    </row>
    <row r="133" spans="3:17" ht="13.5" thickBot="1">
      <c r="C133" s="33"/>
      <c r="F133" s="12"/>
      <c r="M133" s="13"/>
      <c r="N133" s="2"/>
      <c r="P133" s="14"/>
      <c r="Q133" s="1"/>
    </row>
    <row r="134" spans="2:22" s="4" customFormat="1" ht="15">
      <c r="B134" s="131" t="s">
        <v>83</v>
      </c>
      <c r="C134" s="132"/>
      <c r="D134" s="132"/>
      <c r="E134" s="132"/>
      <c r="F134" s="132"/>
      <c r="G134" s="132"/>
      <c r="H134" s="132"/>
      <c r="I134" s="132"/>
      <c r="J134" s="132"/>
      <c r="K134" s="132"/>
      <c r="L134" s="132"/>
      <c r="M134" s="132"/>
      <c r="N134" s="132"/>
      <c r="O134" s="132"/>
      <c r="P134" s="132"/>
      <c r="Q134" s="132"/>
      <c r="R134" s="132"/>
      <c r="S134" s="133"/>
      <c r="V134" s="188" t="s">
        <v>114</v>
      </c>
    </row>
    <row r="135" spans="2:19" s="4" customFormat="1" ht="14.25">
      <c r="B135" s="74" t="s">
        <v>146</v>
      </c>
      <c r="S135" s="71"/>
    </row>
    <row r="136" spans="2:19" s="4" customFormat="1" ht="14.25">
      <c r="B136" s="70"/>
      <c r="C136" s="2" t="s">
        <v>6</v>
      </c>
      <c r="S136" s="71"/>
    </row>
    <row r="137" spans="2:19" ht="12.75">
      <c r="B137" s="74"/>
      <c r="C137" s="2" t="s">
        <v>70</v>
      </c>
      <c r="D137" s="2"/>
      <c r="E137" s="2"/>
      <c r="F137" s="2"/>
      <c r="G137" s="2"/>
      <c r="H137" s="2"/>
      <c r="I137" s="2"/>
      <c r="J137" s="2"/>
      <c r="K137" s="2"/>
      <c r="L137" s="2"/>
      <c r="M137" s="2"/>
      <c r="N137" s="2"/>
      <c r="O137" s="2"/>
      <c r="P137" s="2"/>
      <c r="S137" s="75"/>
    </row>
    <row r="138" spans="2:19" ht="12.75">
      <c r="B138" s="74" t="s">
        <v>175</v>
      </c>
      <c r="C138" s="2"/>
      <c r="D138" s="2"/>
      <c r="E138" s="2"/>
      <c r="F138" s="2"/>
      <c r="G138" s="2"/>
      <c r="H138" s="2"/>
      <c r="I138" s="2"/>
      <c r="J138" s="2"/>
      <c r="K138" s="2"/>
      <c r="L138" s="2"/>
      <c r="M138" s="2"/>
      <c r="N138" s="2"/>
      <c r="O138" s="2"/>
      <c r="P138" s="2"/>
      <c r="S138" s="75"/>
    </row>
    <row r="139" spans="2:19" ht="12.75">
      <c r="B139" s="74"/>
      <c r="C139" s="2"/>
      <c r="D139" s="2"/>
      <c r="E139" s="2"/>
      <c r="F139" s="2"/>
      <c r="G139" s="2"/>
      <c r="H139" s="2"/>
      <c r="I139" s="2"/>
      <c r="J139" s="2"/>
      <c r="K139" s="2"/>
      <c r="L139" s="2"/>
      <c r="M139" s="2"/>
      <c r="N139" s="2"/>
      <c r="O139" s="2"/>
      <c r="P139" s="2"/>
      <c r="S139" s="75"/>
    </row>
    <row r="140" spans="2:21" ht="12.75">
      <c r="B140" s="79"/>
      <c r="C140" s="65"/>
      <c r="D140" s="65"/>
      <c r="E140" s="65"/>
      <c r="F140" s="65"/>
      <c r="G140" s="65"/>
      <c r="H140" s="65"/>
      <c r="I140" s="244" t="s">
        <v>96</v>
      </c>
      <c r="J140" s="244"/>
      <c r="K140" s="244"/>
      <c r="L140" s="244"/>
      <c r="M140" s="65"/>
      <c r="N140" s="65"/>
      <c r="O140" s="65"/>
      <c r="P140" s="65"/>
      <c r="Q140" s="65"/>
      <c r="R140" s="65"/>
      <c r="S140" s="81"/>
      <c r="U140" s="21" t="s">
        <v>95</v>
      </c>
    </row>
    <row r="141" spans="2:26" ht="12.75" customHeight="1">
      <c r="B141" s="79"/>
      <c r="C141" s="151"/>
      <c r="D141" s="238" t="s">
        <v>48</v>
      </c>
      <c r="E141" s="198" t="s">
        <v>47</v>
      </c>
      <c r="F141" s="231" t="s">
        <v>45</v>
      </c>
      <c r="G141" s="226" t="s">
        <v>56</v>
      </c>
      <c r="H141" s="227"/>
      <c r="I141" s="228" t="s">
        <v>44</v>
      </c>
      <c r="J141" s="229"/>
      <c r="K141" s="229"/>
      <c r="L141" s="230"/>
      <c r="M141" s="208" t="s">
        <v>2</v>
      </c>
      <c r="N141" s="209"/>
      <c r="O141" s="209"/>
      <c r="P141" s="209"/>
      <c r="Q141" s="209"/>
      <c r="R141" s="210"/>
      <c r="S141" s="81"/>
      <c r="T141" s="2"/>
      <c r="U141" s="160" t="s">
        <v>94</v>
      </c>
      <c r="V141" s="160" t="s">
        <v>94</v>
      </c>
      <c r="W141" s="160" t="s">
        <v>94</v>
      </c>
      <c r="Y141" s="238" t="s">
        <v>68</v>
      </c>
      <c r="Z141" s="248"/>
    </row>
    <row r="142" spans="2:26" ht="12.75" customHeight="1">
      <c r="B142" s="79"/>
      <c r="C142" s="152"/>
      <c r="D142" s="239"/>
      <c r="E142" s="199"/>
      <c r="F142" s="232"/>
      <c r="G142" s="61" t="s">
        <v>58</v>
      </c>
      <c r="H142" s="63" t="s">
        <v>59</v>
      </c>
      <c r="I142" s="234" t="str">
        <f>"value, with "&amp;F144&amp;"% compatibility interval"</f>
        <v>value, with 90% compatibility interval</v>
      </c>
      <c r="J142" s="235"/>
      <c r="K142" s="234" t="str">
        <f>"or value, with ×/÷"&amp;F144&amp;"% compatibility limits"</f>
        <v>or value, with ×/÷90% compatibility limits</v>
      </c>
      <c r="L142" s="235"/>
      <c r="M142" s="211" t="str">
        <f>"beneficial or
substantially "&amp;G143</f>
        <v>beneficial or
substantially &lt;</v>
      </c>
      <c r="N142" s="212"/>
      <c r="O142" s="215" t="s">
        <v>24</v>
      </c>
      <c r="P142" s="216"/>
      <c r="Q142" s="202" t="str">
        <f>"harmful or 
substantially "&amp;H143</f>
        <v>harmful or 
substantially &gt;</v>
      </c>
      <c r="R142" s="203"/>
      <c r="S142" s="201" t="s">
        <v>90</v>
      </c>
      <c r="T142" s="2"/>
      <c r="U142" s="241" t="s">
        <v>112</v>
      </c>
      <c r="V142" s="242"/>
      <c r="W142" s="243"/>
      <c r="X142" s="15" t="s">
        <v>30</v>
      </c>
      <c r="Y142" s="249"/>
      <c r="Z142" s="250"/>
    </row>
    <row r="143" spans="2:26" ht="12.75" customHeight="1">
      <c r="B143" s="79"/>
      <c r="C143" s="152"/>
      <c r="D143" s="240"/>
      <c r="E143" s="200"/>
      <c r="F143" s="233"/>
      <c r="G143" s="62" t="str">
        <f>IF(ISBLANK(G144),"???",IF(G144&lt;1,"&lt;","&gt;"))</f>
        <v>&lt;</v>
      </c>
      <c r="H143" s="64" t="str">
        <f>IF(TYPE(H144)=2,"???",IF(H144&lt;1,"&lt;","&gt;"))</f>
        <v>&gt;</v>
      </c>
      <c r="I143" s="236"/>
      <c r="J143" s="237"/>
      <c r="K143" s="236"/>
      <c r="L143" s="237"/>
      <c r="M143" s="213"/>
      <c r="N143" s="214"/>
      <c r="O143" s="217"/>
      <c r="P143" s="218"/>
      <c r="Q143" s="204"/>
      <c r="R143" s="205"/>
      <c r="S143" s="201"/>
      <c r="T143" s="2"/>
      <c r="U143" s="48" t="s">
        <v>27</v>
      </c>
      <c r="V143" s="49" t="s">
        <v>28</v>
      </c>
      <c r="W143" s="15" t="s">
        <v>51</v>
      </c>
      <c r="X143" s="16" t="s">
        <v>50</v>
      </c>
      <c r="Y143" s="40" t="s">
        <v>32</v>
      </c>
      <c r="Z143" s="41" t="s">
        <v>33</v>
      </c>
    </row>
    <row r="144" spans="2:26" ht="12.75" customHeight="1">
      <c r="B144" s="79"/>
      <c r="C144" s="153"/>
      <c r="D144" s="34">
        <v>0.2</v>
      </c>
      <c r="E144" s="11">
        <v>0.7</v>
      </c>
      <c r="F144" s="37">
        <f>$H$32</f>
        <v>90</v>
      </c>
      <c r="G144" s="155">
        <v>0.9</v>
      </c>
      <c r="H144" s="156">
        <f>IF(ISBLANK(G144),"",1/G144)</f>
        <v>1.1111111111111112</v>
      </c>
      <c r="I144" s="219" t="str">
        <f>ROUND(E144,2)&amp;", "&amp;ROUND(U144,2)&amp;" to "&amp;ROUND(V144,2)</f>
        <v>0.7, 0.44 to 1.11</v>
      </c>
      <c r="J144" s="220"/>
      <c r="K144" s="221" t="str">
        <f>ROUND(E144,2)&amp;", ×/÷"&amp;ROUND(W144,2)</f>
        <v>0.7, ×/÷1.58</v>
      </c>
      <c r="L144" s="222"/>
      <c r="M144" s="94">
        <f>100*IF(G144&gt;1,1-NORMSDIST((Y144-X144)/ABS(X144/NORMSINV(D144/2))),NORMSDIST((Y144-X144)/ABS(X144/NORMSINV(D144/2))))</f>
        <v>81.67332764266884</v>
      </c>
      <c r="N144" s="95" t="str">
        <f>"%"</f>
        <v>%</v>
      </c>
      <c r="O144" s="94">
        <f>100-M144-Q144</f>
        <v>13.48213010500212</v>
      </c>
      <c r="P144" s="95" t="str">
        <f>"%"</f>
        <v>%</v>
      </c>
      <c r="Q144" s="94">
        <f>100*IF(H144&lt;1,NORMSDIST((Z144-X144)/ABS(X144/NORMSINV(D144/2))),1-NORMSDIST((Z144-X144)/ABS(X144/NORMSINV(D144/2))))</f>
        <v>4.844542252329043</v>
      </c>
      <c r="R144" s="95" t="str">
        <f>"%"</f>
        <v>%</v>
      </c>
      <c r="S144" s="154">
        <f>M144/(100-M144)/(Q144/(100-Q144))</f>
        <v>87.5341642674829</v>
      </c>
      <c r="T144" s="2"/>
      <c r="U144" s="164">
        <f>EXP(X144+NORMSINV((100-F144)/100/2)*ABS(X144/NORMSINV(D144/2)))</f>
        <v>0.44287740808833503</v>
      </c>
      <c r="V144" s="165">
        <f>EXP(X144-NORMSINV((100-F144)/100/2)*ABS(X144/NORMSINV(D144/2)))</f>
        <v>1.1064009837735185</v>
      </c>
      <c r="W144" s="166">
        <f>SQRT(V144/U144)</f>
        <v>1.5805728339621694</v>
      </c>
      <c r="X144" s="39">
        <f>LN(E144)</f>
        <v>-0.35667494393873245</v>
      </c>
      <c r="Y144" s="39">
        <f>LN(G144)</f>
        <v>-0.10536051565782628</v>
      </c>
      <c r="Z144" s="39">
        <f>LN(H144)</f>
        <v>0.10536051565782635</v>
      </c>
    </row>
    <row r="145" spans="2:26" ht="12.75" customHeight="1">
      <c r="B145" s="79"/>
      <c r="C145" s="223" t="str">
        <f>"Clinical decision: "&amp;IF(M144&lt;$I$51,IF(MAX(O144,Q144)=O144,O145&amp;" trivial; don't use",Q145&amp;" harmful; don't use"),IF(Q144&lt;$E$51,M145&amp;" beneficial; consider using it","unclear; don't use; get more data"))&amp;".   Non-clinical decision: "&amp;IF(MIN(M144,Q144)&gt;$G$51,"unclear; get more data",IF(M144&gt;$I$51,M145&amp;" "&amp;G143,IF(Q144&gt;$I$51,Q145&amp;" "&amp;H143,O145&amp;" trivial")))&amp;"."</f>
        <v>Clinical decision: unclear; don't use; get more data.   Non-clinical decision: likely &lt;.</v>
      </c>
      <c r="D145" s="224"/>
      <c r="E145" s="224"/>
      <c r="F145" s="224"/>
      <c r="G145" s="224"/>
      <c r="H145" s="224"/>
      <c r="I145" s="224"/>
      <c r="J145" s="224"/>
      <c r="K145" s="224"/>
      <c r="L145" s="225"/>
      <c r="M145" s="206" t="str">
        <f>IF(M144&lt;$E$51,$D$51,IF(M144&lt;$G$51,$F$51,IF(M144&lt;$I$51,$H$51,IF(M144&lt;$K$51,$J$51,IF(M144&lt;$M$51,$L$51,IF(M144&lt;$O$51,$N$51,$P$51))))))</f>
        <v>likely</v>
      </c>
      <c r="N145" s="207"/>
      <c r="O145" s="206" t="str">
        <f>IF(O144&lt;$E$51,$D$51,IF(O144&lt;$G$51,$F$51,IF(O144&lt;$I$51,$H$51,IF(O144&lt;$K$51,$J$51,IF(O144&lt;$M$51,$L$51,IF(O144&lt;$O$51,$N$51,$P$51))))))</f>
        <v>unlikely</v>
      </c>
      <c r="P145" s="207"/>
      <c r="Q145" s="206" t="str">
        <f>IF(Q144&lt;$E$51,$D$51,IF(Q144&lt;$G$51,$F$51,IF(Q144&lt;$I$51,$H$51,IF(Q144&lt;$K$51,$J$51,IF(Q144&lt;$M$51,$L$51,IF(Q144&lt;$O$51,$N$51,$P$51))))))</f>
        <v>very unlikely</v>
      </c>
      <c r="R145" s="207"/>
      <c r="S145" s="81"/>
      <c r="T145" s="2"/>
      <c r="U145" s="2"/>
      <c r="V145" s="2"/>
      <c r="W145" s="2"/>
      <c r="X145" s="2"/>
      <c r="Y145" s="2"/>
      <c r="Z145" s="2"/>
    </row>
    <row r="146" spans="2:19" s="2" customFormat="1" ht="12.75">
      <c r="B146" s="79"/>
      <c r="C146" s="65"/>
      <c r="D146" s="65"/>
      <c r="E146" s="104"/>
      <c r="F146" s="65"/>
      <c r="G146" s="65"/>
      <c r="H146" s="173">
        <f>IF(ISNUMBER(G144),IF(OR(G144&lt;=0,H144&lt;=0,G144=1,H144=1),"ERROR: thresholds must be positive and &gt;1 or &lt;1",IF(OR(AND(G144&gt;1,H144&gt;1),AND(G144&lt;1,H144&lt;1)),"ERROR: thresholds must span 1.00.","")),"")</f>
      </c>
      <c r="I146" s="176" t="str">
        <f>IF(AND(S144&gt;$I$51/(100-$I$51)/($E$51/(100-$E$51)),OR(Q144&gt;$E$51,M144&lt;$I$51)),"Less conservative clinical decision: "&amp;M145&amp;" beneficial; consider using it, because odds ratio is &gt;"&amp;ROUND($I$51/(100-$I$51)/($E$51/(100-$E$51)),1)&amp;".","")</f>
        <v>Less conservative clinical decision: likely beneficial; consider using it, because odds ratio is &gt;66.3.</v>
      </c>
      <c r="J146" s="177"/>
      <c r="K146" s="177"/>
      <c r="L146" s="177"/>
      <c r="M146" s="178"/>
      <c r="N146" s="179"/>
      <c r="O146" s="177"/>
      <c r="P146" s="180"/>
      <c r="Q146" s="177"/>
      <c r="R146" s="177"/>
      <c r="S146" s="81"/>
    </row>
    <row r="147" spans="2:26" ht="12.75" customHeight="1">
      <c r="B147" s="79"/>
      <c r="C147" s="151"/>
      <c r="D147" s="238" t="s">
        <v>48</v>
      </c>
      <c r="E147" s="198" t="s">
        <v>47</v>
      </c>
      <c r="F147" s="231" t="s">
        <v>45</v>
      </c>
      <c r="G147" s="226" t="s">
        <v>56</v>
      </c>
      <c r="H147" s="227"/>
      <c r="I147" s="228" t="s">
        <v>44</v>
      </c>
      <c r="J147" s="229"/>
      <c r="K147" s="229"/>
      <c r="L147" s="230"/>
      <c r="M147" s="208" t="s">
        <v>2</v>
      </c>
      <c r="N147" s="209"/>
      <c r="O147" s="209"/>
      <c r="P147" s="209"/>
      <c r="Q147" s="209"/>
      <c r="R147" s="210"/>
      <c r="S147" s="81"/>
      <c r="T147" s="2"/>
      <c r="Y147" s="238" t="s">
        <v>68</v>
      </c>
      <c r="Z147" s="248"/>
    </row>
    <row r="148" spans="2:26" ht="12.75" customHeight="1">
      <c r="B148" s="79"/>
      <c r="C148" s="152"/>
      <c r="D148" s="239"/>
      <c r="E148" s="199"/>
      <c r="F148" s="232"/>
      <c r="G148" s="61" t="s">
        <v>58</v>
      </c>
      <c r="H148" s="63" t="s">
        <v>59</v>
      </c>
      <c r="I148" s="234" t="str">
        <f>"value, with "&amp;F150&amp;"% compatibility interval"</f>
        <v>value, with 90% compatibility interval</v>
      </c>
      <c r="J148" s="235"/>
      <c r="K148" s="234" t="str">
        <f>"or value, with ×/÷"&amp;F150&amp;"% compatibility limits"</f>
        <v>or value, with ×/÷90% compatibility limits</v>
      </c>
      <c r="L148" s="235"/>
      <c r="M148" s="211" t="str">
        <f>"beneficial or
substantially "&amp;G149</f>
        <v>beneficial or
substantially &gt;</v>
      </c>
      <c r="N148" s="212"/>
      <c r="O148" s="215" t="s">
        <v>24</v>
      </c>
      <c r="P148" s="216"/>
      <c r="Q148" s="202" t="str">
        <f>"harmful or 
substantially "&amp;H149</f>
        <v>harmful or 
substantially &lt;</v>
      </c>
      <c r="R148" s="203"/>
      <c r="S148" s="201" t="s">
        <v>90</v>
      </c>
      <c r="T148" s="2"/>
      <c r="U148" s="241" t="s">
        <v>112</v>
      </c>
      <c r="V148" s="242"/>
      <c r="W148" s="243"/>
      <c r="X148" s="15" t="s">
        <v>30</v>
      </c>
      <c r="Y148" s="249"/>
      <c r="Z148" s="250"/>
    </row>
    <row r="149" spans="2:26" ht="12.75" customHeight="1">
      <c r="B149" s="79"/>
      <c r="C149" s="152"/>
      <c r="D149" s="240"/>
      <c r="E149" s="200"/>
      <c r="F149" s="233"/>
      <c r="G149" s="62" t="str">
        <f>IF(ISBLANK(G150),"???",IF(G150&lt;1,"&lt;","&gt;"))</f>
        <v>&gt;</v>
      </c>
      <c r="H149" s="64" t="str">
        <f>IF(TYPE(H150)=2,"???",IF(H150&lt;1,"&lt;","&gt;"))</f>
        <v>&lt;</v>
      </c>
      <c r="I149" s="236"/>
      <c r="J149" s="237"/>
      <c r="K149" s="236"/>
      <c r="L149" s="237"/>
      <c r="M149" s="213"/>
      <c r="N149" s="214"/>
      <c r="O149" s="217"/>
      <c r="P149" s="218"/>
      <c r="Q149" s="204"/>
      <c r="R149" s="205"/>
      <c r="S149" s="201"/>
      <c r="T149" s="2"/>
      <c r="U149" s="48" t="s">
        <v>27</v>
      </c>
      <c r="V149" s="49" t="s">
        <v>28</v>
      </c>
      <c r="W149" s="15" t="s">
        <v>51</v>
      </c>
      <c r="X149" s="16" t="s">
        <v>50</v>
      </c>
      <c r="Y149" s="40" t="s">
        <v>32</v>
      </c>
      <c r="Z149" s="41" t="s">
        <v>33</v>
      </c>
    </row>
    <row r="150" spans="2:26" ht="12.75" customHeight="1">
      <c r="B150" s="79"/>
      <c r="C150" s="153"/>
      <c r="D150" s="34"/>
      <c r="E150" s="11"/>
      <c r="F150" s="37">
        <f>$H$32</f>
        <v>90</v>
      </c>
      <c r="G150" s="155">
        <v>1.1</v>
      </c>
      <c r="H150" s="156">
        <f>IF(ISBLANK(G150),"",1/G150)</f>
        <v>0.9090909090909091</v>
      </c>
      <c r="I150" s="219" t="e">
        <f>ROUND(E150,2)&amp;", "&amp;ROUND(U150,2)&amp;" to "&amp;ROUND(V150,2)</f>
        <v>#NUM!</v>
      </c>
      <c r="J150" s="220"/>
      <c r="K150" s="221" t="e">
        <f>ROUND(E150,2)&amp;", ×/÷"&amp;ROUND(W150,2)</f>
        <v>#NUM!</v>
      </c>
      <c r="L150" s="222"/>
      <c r="M150" s="94" t="e">
        <f>100*IF(G150&gt;1,1-NORMSDIST((Y150-X150)/ABS(X150/NORMSINV(D150/2))),NORMSDIST((Y150-X150)/ABS(X150/NORMSINV(D150/2))))</f>
        <v>#NUM!</v>
      </c>
      <c r="N150" s="95" t="str">
        <f>"%"</f>
        <v>%</v>
      </c>
      <c r="O150" s="94" t="e">
        <f>100-M150-Q150</f>
        <v>#NUM!</v>
      </c>
      <c r="P150" s="95" t="str">
        <f>"%"</f>
        <v>%</v>
      </c>
      <c r="Q150" s="94" t="e">
        <f>100*IF(H150&lt;1,NORMSDIST((Z150-X150)/ABS(X150/NORMSINV(D150/2))),1-NORMSDIST((Z150-X150)/ABS(X150/NORMSINV(D150/2))))</f>
        <v>#NUM!</v>
      </c>
      <c r="R150" s="95" t="str">
        <f>"%"</f>
        <v>%</v>
      </c>
      <c r="S150" s="154" t="e">
        <f>M150/(100-M150)/(Q150/(100-Q150))</f>
        <v>#NUM!</v>
      </c>
      <c r="T150" s="2"/>
      <c r="U150" s="164" t="e">
        <f>EXP(X150+NORMSINV((100-F150)/100/2)*ABS(X150/NORMSINV(D150/2)))</f>
        <v>#NUM!</v>
      </c>
      <c r="V150" s="165" t="e">
        <f>EXP(X150-NORMSINV((100-F150)/100/2)*ABS(X150/NORMSINV(D150/2)))</f>
        <v>#NUM!</v>
      </c>
      <c r="W150" s="166" t="e">
        <f>SQRT(V150/U150)</f>
        <v>#NUM!</v>
      </c>
      <c r="X150" s="39" t="e">
        <f>LN(E150)</f>
        <v>#NUM!</v>
      </c>
      <c r="Y150" s="39">
        <f>LN(G150)</f>
        <v>0.09531017980432493</v>
      </c>
      <c r="Z150" s="39">
        <f>LN(H150)</f>
        <v>-0.0953101798043249</v>
      </c>
    </row>
    <row r="151" spans="2:26" ht="12.75" customHeight="1">
      <c r="B151" s="79"/>
      <c r="C151" s="223" t="e">
        <f>"Clinical decision: "&amp;IF(M150&lt;$I$51,IF(MAX(O150,Q150)=O150,O151&amp;" trivial; don't use",Q151&amp;" harmful; don't use"),IF(Q150&lt;$E$51,M151&amp;" beneficial; consider using it","unclear; don't use; get more data"))&amp;".   Non-clinical decision: "&amp;IF(MIN(M150,Q150)&gt;$G$51,"unclear; get more data",IF(M150&gt;$I$51,M151&amp;" "&amp;G149,IF(Q150&gt;$I$51,Q151&amp;" "&amp;H149,O151&amp;" trivial")))&amp;"."</f>
        <v>#NUM!</v>
      </c>
      <c r="D151" s="224"/>
      <c r="E151" s="224"/>
      <c r="F151" s="224"/>
      <c r="G151" s="224"/>
      <c r="H151" s="224"/>
      <c r="I151" s="224"/>
      <c r="J151" s="224"/>
      <c r="K151" s="224"/>
      <c r="L151" s="225"/>
      <c r="M151" s="206" t="e">
        <f>IF(M150&lt;$E$51,$D$51,IF(M150&lt;$G$51,$F$51,IF(M150&lt;$I$51,$H$51,IF(M150&lt;$K$51,$J$51,IF(M150&lt;$M$51,$L$51,IF(M150&lt;$O$51,$N$51,$P$51))))))</f>
        <v>#NUM!</v>
      </c>
      <c r="N151" s="207"/>
      <c r="O151" s="206" t="e">
        <f>IF(O150&lt;$E$51,$D$51,IF(O150&lt;$G$51,$F$51,IF(O150&lt;$I$51,$H$51,IF(O150&lt;$K$51,$J$51,IF(O150&lt;$M$51,$L$51,IF(O150&lt;$O$51,$N$51,$P$51))))))</f>
        <v>#NUM!</v>
      </c>
      <c r="P151" s="207"/>
      <c r="Q151" s="206" t="e">
        <f>IF(Q150&lt;$E$51,$D$51,IF(Q150&lt;$G$51,$F$51,IF(Q150&lt;$I$51,$H$51,IF(Q150&lt;$K$51,$J$51,IF(Q150&lt;$M$51,$L$51,IF(Q150&lt;$O$51,$N$51,$P$51))))))</f>
        <v>#NUM!</v>
      </c>
      <c r="R151" s="207"/>
      <c r="S151" s="81"/>
      <c r="T151" s="2"/>
      <c r="U151" s="2"/>
      <c r="V151" s="2"/>
      <c r="W151" s="2"/>
      <c r="X151" s="2"/>
      <c r="Y151" s="2"/>
      <c r="Z151" s="2"/>
    </row>
    <row r="152" spans="2:19" s="2" customFormat="1" ht="13.5" thickBot="1">
      <c r="B152" s="85"/>
      <c r="C152" s="86"/>
      <c r="D152" s="86"/>
      <c r="E152" s="103"/>
      <c r="F152" s="86"/>
      <c r="G152" s="86"/>
      <c r="H152" s="172">
        <f>IF(ISNUMBER(G150),IF(OR(G150&lt;=0,H150&lt;=0,G150=1,H150=1),"ERROR: thresholds must be positive and &gt;1 or &lt;1",IF(OR(AND(G150&gt;1,H150&gt;1),AND(G150&lt;1,H150&lt;1)),"ERROR: thresholds must span 1.00.","")),"")</f>
      </c>
      <c r="I152" s="182" t="e">
        <f>IF(AND(S150&gt;$I$51/(100-$I$51)/($E$51/(100-$E$51)),OR(Q150&gt;$E$51,M150&lt;$I$51)),"Less conservative clinical decision: "&amp;M151&amp;" beneficial; consider using it, because odds ratio is &gt;"&amp;ROUND($I$51/(100-$I$51)/($E$51/(100-$E$51)),1)&amp;".","")</f>
        <v>#NUM!</v>
      </c>
      <c r="J152" s="183"/>
      <c r="K152" s="183"/>
      <c r="L152" s="183"/>
      <c r="M152" s="184"/>
      <c r="N152" s="185"/>
      <c r="O152" s="183"/>
      <c r="P152" s="186"/>
      <c r="Q152" s="183"/>
      <c r="R152" s="183"/>
      <c r="S152" s="90"/>
    </row>
    <row r="153" ht="13.5" thickBot="1">
      <c r="E153" s="12"/>
    </row>
    <row r="154" spans="2:19" s="4" customFormat="1" ht="14.25" customHeight="1">
      <c r="B154" s="131" t="s">
        <v>78</v>
      </c>
      <c r="C154" s="132"/>
      <c r="D154" s="132"/>
      <c r="E154" s="132"/>
      <c r="F154" s="132"/>
      <c r="G154" s="132"/>
      <c r="H154" s="132"/>
      <c r="I154" s="132"/>
      <c r="J154" s="132"/>
      <c r="K154" s="132"/>
      <c r="L154" s="132"/>
      <c r="M154" s="132"/>
      <c r="N154" s="132"/>
      <c r="O154" s="132"/>
      <c r="P154" s="132"/>
      <c r="Q154" s="132"/>
      <c r="R154" s="132"/>
      <c r="S154" s="133"/>
    </row>
    <row r="155" spans="2:19" s="4" customFormat="1" ht="14.25" customHeight="1">
      <c r="B155" s="74" t="s">
        <v>166</v>
      </c>
      <c r="S155" s="71"/>
    </row>
    <row r="156" spans="2:19" s="4" customFormat="1" ht="14.25" customHeight="1">
      <c r="B156" s="74"/>
      <c r="C156" s="2" t="s">
        <v>167</v>
      </c>
      <c r="S156" s="71"/>
    </row>
    <row r="157" spans="2:19" s="4" customFormat="1" ht="14.25" customHeight="1">
      <c r="B157" s="74"/>
      <c r="C157" s="2" t="s">
        <v>168</v>
      </c>
      <c r="S157" s="71"/>
    </row>
    <row r="158" spans="2:23" s="18" customFormat="1" ht="12.75">
      <c r="B158" s="105" t="s">
        <v>7</v>
      </c>
      <c r="S158" s="106"/>
      <c r="U158" s="45"/>
      <c r="V158" s="45"/>
      <c r="W158" s="45"/>
    </row>
    <row r="159" spans="2:23" s="18" customFormat="1" ht="12.75">
      <c r="B159" s="105"/>
      <c r="C159" s="18" t="s">
        <v>3</v>
      </c>
      <c r="S159" s="106"/>
      <c r="U159" s="45"/>
      <c r="V159" s="45"/>
      <c r="W159" s="45"/>
    </row>
    <row r="160" spans="2:19" ht="12.75">
      <c r="B160" s="107"/>
      <c r="C160" s="2" t="s">
        <v>34</v>
      </c>
      <c r="D160" s="2"/>
      <c r="E160" s="2"/>
      <c r="F160" s="2"/>
      <c r="G160" s="2"/>
      <c r="H160" s="2"/>
      <c r="I160" s="2"/>
      <c r="J160" s="2"/>
      <c r="K160" s="2"/>
      <c r="L160" s="2"/>
      <c r="M160" s="2"/>
      <c r="N160" s="2"/>
      <c r="O160" s="2"/>
      <c r="P160" s="2"/>
      <c r="S160" s="75"/>
    </row>
    <row r="161" spans="2:19" ht="12.75">
      <c r="B161" s="74" t="s">
        <v>113</v>
      </c>
      <c r="C161" s="2"/>
      <c r="D161" s="2"/>
      <c r="E161" s="2"/>
      <c r="F161" s="2"/>
      <c r="G161" s="2"/>
      <c r="H161" s="2"/>
      <c r="I161" s="2"/>
      <c r="J161" s="2"/>
      <c r="K161" s="2"/>
      <c r="L161" s="2"/>
      <c r="M161" s="2"/>
      <c r="N161" s="2"/>
      <c r="O161" s="2"/>
      <c r="P161" s="2"/>
      <c r="S161" s="75"/>
    </row>
    <row r="162" spans="2:19" ht="12.75">
      <c r="B162" s="74"/>
      <c r="C162" s="2" t="s">
        <v>169</v>
      </c>
      <c r="D162" s="2"/>
      <c r="E162" s="2"/>
      <c r="F162" s="2"/>
      <c r="G162" s="2"/>
      <c r="H162" s="2"/>
      <c r="I162" s="2"/>
      <c r="J162" s="2"/>
      <c r="K162" s="2"/>
      <c r="L162" s="2"/>
      <c r="M162" s="2"/>
      <c r="N162" s="2"/>
      <c r="O162" s="2"/>
      <c r="P162" s="2"/>
      <c r="S162" s="75"/>
    </row>
    <row r="163" spans="2:19" ht="12.75">
      <c r="B163" s="74" t="s">
        <v>165</v>
      </c>
      <c r="C163" s="2"/>
      <c r="D163" s="2"/>
      <c r="E163" s="2"/>
      <c r="F163" s="2"/>
      <c r="G163" s="2"/>
      <c r="H163" s="2"/>
      <c r="I163" s="2"/>
      <c r="J163" s="2"/>
      <c r="K163" s="2"/>
      <c r="L163" s="2"/>
      <c r="M163" s="2"/>
      <c r="N163" s="2"/>
      <c r="O163" s="2"/>
      <c r="P163" s="2"/>
      <c r="S163" s="75"/>
    </row>
    <row r="164" spans="2:19" ht="12.75">
      <c r="B164" s="74" t="s">
        <v>170</v>
      </c>
      <c r="C164" s="2"/>
      <c r="D164" s="2"/>
      <c r="E164" s="2"/>
      <c r="F164" s="2"/>
      <c r="G164" s="2"/>
      <c r="H164" s="2"/>
      <c r="I164" s="2"/>
      <c r="J164" s="2"/>
      <c r="K164" s="2"/>
      <c r="L164" s="2"/>
      <c r="M164" s="2"/>
      <c r="N164" s="2"/>
      <c r="O164" s="2"/>
      <c r="P164" s="2"/>
      <c r="S164" s="75"/>
    </row>
    <row r="165" spans="2:19" ht="12.75">
      <c r="B165" s="74"/>
      <c r="C165" s="2"/>
      <c r="D165" s="2"/>
      <c r="E165" s="2"/>
      <c r="F165" s="2"/>
      <c r="G165" s="2"/>
      <c r="H165" s="2"/>
      <c r="I165" s="2"/>
      <c r="J165" s="2"/>
      <c r="K165" s="2"/>
      <c r="L165" s="2"/>
      <c r="M165" s="2"/>
      <c r="N165" s="2"/>
      <c r="O165" s="2"/>
      <c r="P165" s="2"/>
      <c r="S165" s="75"/>
    </row>
    <row r="166" spans="2:21" ht="12.75">
      <c r="B166" s="79"/>
      <c r="C166" s="65"/>
      <c r="D166" s="65"/>
      <c r="E166" s="65"/>
      <c r="F166" s="65"/>
      <c r="G166" s="65"/>
      <c r="H166" s="65"/>
      <c r="I166" s="244" t="s">
        <v>96</v>
      </c>
      <c r="J166" s="244"/>
      <c r="K166" s="244"/>
      <c r="L166" s="244"/>
      <c r="M166" s="65"/>
      <c r="N166" s="65"/>
      <c r="O166" s="65"/>
      <c r="P166" s="65"/>
      <c r="Q166" s="65"/>
      <c r="R166" s="65"/>
      <c r="S166" s="81"/>
      <c r="U166" s="21" t="s">
        <v>95</v>
      </c>
    </row>
    <row r="167" spans="2:33" ht="12.75" customHeight="1">
      <c r="B167" s="79"/>
      <c r="C167" s="198"/>
      <c r="D167" s="238" t="s">
        <v>52</v>
      </c>
      <c r="E167" s="198" t="s">
        <v>64</v>
      </c>
      <c r="F167" s="198" t="s">
        <v>45</v>
      </c>
      <c r="G167" s="226" t="s">
        <v>49</v>
      </c>
      <c r="H167" s="227"/>
      <c r="I167" s="228" t="s">
        <v>44</v>
      </c>
      <c r="J167" s="229"/>
      <c r="K167" s="229"/>
      <c r="L167" s="230"/>
      <c r="M167" s="208" t="s">
        <v>2</v>
      </c>
      <c r="N167" s="209"/>
      <c r="O167" s="209"/>
      <c r="P167" s="209"/>
      <c r="Q167" s="209"/>
      <c r="R167" s="210"/>
      <c r="S167" s="81"/>
      <c r="U167" s="160" t="s">
        <v>94</v>
      </c>
      <c r="V167" s="160" t="s">
        <v>94</v>
      </c>
      <c r="W167" s="160" t="s">
        <v>94</v>
      </c>
      <c r="X167" s="2"/>
      <c r="AG167" s="2"/>
    </row>
    <row r="168" spans="2:29" ht="12.75" customHeight="1">
      <c r="B168" s="79"/>
      <c r="C168" s="199"/>
      <c r="D168" s="239"/>
      <c r="E168" s="199"/>
      <c r="F168" s="199"/>
      <c r="G168" s="61" t="s">
        <v>58</v>
      </c>
      <c r="H168" s="63" t="s">
        <v>59</v>
      </c>
      <c r="I168" s="234" t="str">
        <f>"value, with "&amp;F170&amp;"% compatibility interval"</f>
        <v>value, with 90% compatibility interval</v>
      </c>
      <c r="J168" s="235"/>
      <c r="K168" s="234" t="str">
        <f>"or value, with ±"&amp;F170&amp;"% compatibility limits"</f>
        <v>or value, with ±90% compatibility limits</v>
      </c>
      <c r="L168" s="235"/>
      <c r="M168" s="211" t="str">
        <f>"beneficial or
substantially "&amp;G169</f>
        <v>beneficial or
substantially +ive</v>
      </c>
      <c r="N168" s="212"/>
      <c r="O168" s="215" t="s">
        <v>24</v>
      </c>
      <c r="P168" s="216"/>
      <c r="Q168" s="202" t="str">
        <f>"harmful or 
substantially "&amp;H169</f>
        <v>harmful or 
substantially -ive</v>
      </c>
      <c r="R168" s="203"/>
      <c r="S168" s="201" t="s">
        <v>90</v>
      </c>
      <c r="U168" s="241" t="s">
        <v>112</v>
      </c>
      <c r="V168" s="242"/>
      <c r="W168" s="243"/>
      <c r="X168" s="56" t="s">
        <v>54</v>
      </c>
      <c r="Y168" s="42"/>
      <c r="Z168" s="19"/>
      <c r="AA168" s="19"/>
      <c r="AB168" s="20" t="s">
        <v>35</v>
      </c>
      <c r="AC168" s="20" t="s">
        <v>36</v>
      </c>
    </row>
    <row r="169" spans="2:29" s="21" customFormat="1" ht="12.75" customHeight="1">
      <c r="B169" s="108"/>
      <c r="C169" s="199"/>
      <c r="D169" s="240"/>
      <c r="E169" s="200"/>
      <c r="F169" s="200"/>
      <c r="G169" s="62" t="str">
        <f>IF(ISBLANK(G170),"???",IF(G170&lt;0,"-ive","+ive"))</f>
        <v>+ive</v>
      </c>
      <c r="H169" s="64" t="str">
        <f>IF(TYPE(H170)=2,"???",IF(H170&lt;0,"-ive","+ive"))</f>
        <v>-ive</v>
      </c>
      <c r="I169" s="236"/>
      <c r="J169" s="237"/>
      <c r="K169" s="236"/>
      <c r="L169" s="237"/>
      <c r="M169" s="213"/>
      <c r="N169" s="214"/>
      <c r="O169" s="217"/>
      <c r="P169" s="218"/>
      <c r="Q169" s="204"/>
      <c r="R169" s="205"/>
      <c r="S169" s="201"/>
      <c r="U169" s="50" t="s">
        <v>27</v>
      </c>
      <c r="V169" s="51" t="s">
        <v>28</v>
      </c>
      <c r="W169" s="43" t="s">
        <v>29</v>
      </c>
      <c r="X169" s="22" t="s">
        <v>55</v>
      </c>
      <c r="Y169" s="43" t="s">
        <v>37</v>
      </c>
      <c r="Z169" s="23" t="s">
        <v>38</v>
      </c>
      <c r="AA169" s="23" t="s">
        <v>53</v>
      </c>
      <c r="AB169" s="23" t="s">
        <v>39</v>
      </c>
      <c r="AC169" s="23" t="s">
        <v>39</v>
      </c>
    </row>
    <row r="170" spans="2:29" ht="12.75" customHeight="1">
      <c r="B170" s="79"/>
      <c r="C170" s="200"/>
      <c r="D170" s="24">
        <v>15</v>
      </c>
      <c r="E170" s="25">
        <v>0.61</v>
      </c>
      <c r="F170" s="37">
        <f>$H$32</f>
        <v>90</v>
      </c>
      <c r="G170" s="38">
        <v>0.1</v>
      </c>
      <c r="H170" s="37">
        <f>IF(ISBLANK(G170)," ",-G170)</f>
        <v>-0.1</v>
      </c>
      <c r="I170" s="219" t="str">
        <f>ROUND(E170,2)&amp;", "&amp;ROUND(U170,2)&amp;" to "&amp;ROUND(V170,2)</f>
        <v>0.61, 0.23 to 0.83</v>
      </c>
      <c r="J170" s="220"/>
      <c r="K170" s="221" t="str">
        <f>ROUND(E170,2)&amp;", ±"&amp;ROUND(W170,2)</f>
        <v>0.61, ±0.3</v>
      </c>
      <c r="L170" s="222"/>
      <c r="M170" s="94">
        <f>100*IF(G170&gt;0,1-NORMDIST(AB170,X170,AA170,TRUE),NORMDIST(AB170,X170,AA170,TRUE))</f>
        <v>98.24933170282245</v>
      </c>
      <c r="N170" s="95" t="str">
        <f>"%"</f>
        <v>%</v>
      </c>
      <c r="O170" s="94">
        <f>100-M170-Q170</f>
        <v>1.4977925511343542</v>
      </c>
      <c r="P170" s="95" t="str">
        <f>"%"</f>
        <v>%</v>
      </c>
      <c r="Q170" s="94">
        <f>100*IF(H170&lt;0,NORMDIST(AC170,X170,AA170,TRUE),1-NORMDIST(AC170,X170,AA170,TRUE))</f>
        <v>0.25287574604320057</v>
      </c>
      <c r="R170" s="95" t="str">
        <f>"%"</f>
        <v>%</v>
      </c>
      <c r="S170" s="154">
        <f>M170/(100-M170)/(Q170/(100-Q170))</f>
        <v>22137.00914100844</v>
      </c>
      <c r="U170" s="167">
        <f>(EXP(2*Y170)-1)/(EXP(2*Y170)+1)</f>
        <v>0.229908650670447</v>
      </c>
      <c r="V170" s="168">
        <f>(EXP(2*Z170)-1)/(EXP(2*Z170)+1)</f>
        <v>0.8286303185796969</v>
      </c>
      <c r="W170" s="166">
        <f>(V170-U170)/2</f>
        <v>0.299360833954625</v>
      </c>
      <c r="X170" s="26">
        <f>0.5*LN((1+E170)/(1-E170))</f>
        <v>0.7089213594274082</v>
      </c>
      <c r="Y170" s="27">
        <f>X170+NORMSINV((100-F170)/100/2)/SQRT(D170-3)</f>
        <v>0.23409301727842569</v>
      </c>
      <c r="Z170" s="28">
        <f>X170-NORMSINV((100-F170)/100/2)/SQRT(D170-3)</f>
        <v>1.1837497015763907</v>
      </c>
      <c r="AA170" s="28">
        <f>1/SQRT(D170-3)</f>
        <v>0.2886751345948129</v>
      </c>
      <c r="AB170" s="28">
        <f>0.5*LN((1+G170)/(1-G170))</f>
        <v>0.10033534773107562</v>
      </c>
      <c r="AC170" s="28">
        <f>0.5*LN((1+H170)/(1-H170))</f>
        <v>-0.10033534773107562</v>
      </c>
    </row>
    <row r="171" spans="2:24" ht="12.75" customHeight="1">
      <c r="B171" s="79"/>
      <c r="C171" s="223" t="str">
        <f>"Clinical decision: "&amp;IF(M170&lt;$I$51,IF(MAX(O170,Q170)=O170,O171&amp;" trivial; don't use",Q171&amp;" harmful; don't use"),IF(Q170&lt;$E$51,M171&amp;" beneficial; consider using it","unclear; don't use; get more data"))&amp;".   Non-clinical decision: "&amp;IF(MIN(M170,Q170)&gt;$G$51,"unclear; get more data",IF(M170&gt;$I$51,M171&amp;" "&amp;G169,IF(Q170&gt;$I$51,Q171&amp;" "&amp;H169,O171&amp;" trivial")))&amp;"."</f>
        <v>Clinical decision: very likely beneficial; consider using it.   Non-clinical decision: very likely +ive.</v>
      </c>
      <c r="D171" s="224"/>
      <c r="E171" s="224"/>
      <c r="F171" s="224"/>
      <c r="G171" s="224"/>
      <c r="H171" s="224"/>
      <c r="I171" s="224"/>
      <c r="J171" s="224"/>
      <c r="K171" s="224"/>
      <c r="L171" s="225"/>
      <c r="M171" s="206" t="str">
        <f>IF(M170&lt;$E$51,$D$51,IF(M170&lt;$G$51,$F$51,IF(M170&lt;$I$51,$H$51,IF(M170&lt;$K$51,$J$51,IF(M170&lt;$M$51,$L$51,IF(M170&lt;$O$51,$N$51,$P$51))))))</f>
        <v>very likely</v>
      </c>
      <c r="N171" s="207"/>
      <c r="O171" s="206" t="str">
        <f>IF(O170&lt;$E$51,$D$51,IF(O170&lt;$G$51,$F$51,IF(O170&lt;$I$51,$H$51,IF(O170&lt;$K$51,$J$51,IF(O170&lt;$M$51,$L$51,IF(O170&lt;$O$51,$N$51,$P$51))))))</f>
        <v>very unlikely</v>
      </c>
      <c r="P171" s="207"/>
      <c r="Q171" s="206" t="str">
        <f>IF(Q170&lt;$E$51,$D$51,IF(Q170&lt;$G$51,$F$51,IF(Q170&lt;$I$51,$H$51,IF(Q170&lt;$K$51,$J$51,IF(Q170&lt;$M$51,$L$51,IF(Q170&lt;$O$51,$N$51,$P$51))))))</f>
        <v>most unlikely</v>
      </c>
      <c r="R171" s="207"/>
      <c r="S171" s="81"/>
      <c r="X171" s="140"/>
    </row>
    <row r="172" spans="2:24" ht="12.75">
      <c r="B172" s="79"/>
      <c r="C172" s="65"/>
      <c r="D172" s="65"/>
      <c r="E172" s="65"/>
      <c r="F172" s="65"/>
      <c r="G172" s="65"/>
      <c r="H172" s="173">
        <f>IF(ISNUMBER(G170),IF(OR(SIGN(G170)=SIGN(H170),G170=0,H170=0),"ERROR: thresholds must be non-zero and opposite in sign.",""),"")</f>
      </c>
      <c r="I172" s="176">
        <f>IF(AND(S170&gt;$I$51/(100-$I$51)/($E$51/(100-$E$51)),OR(Q170&gt;$E$51,M170&lt;$I$51)),"Less conservative clinical decision: "&amp;M171&amp;" beneficial; consider using it, because odds ratio is &gt;"&amp;ROUND($I$51/(100-$I$51)/($E$51/(100-$E$51)),1)&amp;".","")</f>
      </c>
      <c r="J172" s="177"/>
      <c r="K172" s="177"/>
      <c r="L172" s="177"/>
      <c r="M172" s="178"/>
      <c r="N172" s="179"/>
      <c r="O172" s="177"/>
      <c r="P172" s="180"/>
      <c r="Q172" s="177"/>
      <c r="R172" s="177"/>
      <c r="S172" s="81"/>
      <c r="X172" s="140"/>
    </row>
    <row r="173" spans="2:33" ht="12.75" customHeight="1">
      <c r="B173" s="79"/>
      <c r="C173" s="198"/>
      <c r="D173" s="238" t="s">
        <v>52</v>
      </c>
      <c r="E173" s="198" t="s">
        <v>64</v>
      </c>
      <c r="F173" s="198" t="s">
        <v>45</v>
      </c>
      <c r="G173" s="226" t="s">
        <v>49</v>
      </c>
      <c r="H173" s="227"/>
      <c r="I173" s="228" t="s">
        <v>44</v>
      </c>
      <c r="J173" s="229"/>
      <c r="K173" s="229"/>
      <c r="L173" s="230"/>
      <c r="M173" s="208" t="s">
        <v>2</v>
      </c>
      <c r="N173" s="209"/>
      <c r="O173" s="209"/>
      <c r="P173" s="209"/>
      <c r="Q173" s="209"/>
      <c r="R173" s="210"/>
      <c r="S173" s="81"/>
      <c r="W173" s="2"/>
      <c r="X173" s="141"/>
      <c r="AG173" s="2"/>
    </row>
    <row r="174" spans="2:29" ht="12.75" customHeight="1">
      <c r="B174" s="79"/>
      <c r="C174" s="199"/>
      <c r="D174" s="239"/>
      <c r="E174" s="199"/>
      <c r="F174" s="199"/>
      <c r="G174" s="61" t="s">
        <v>58</v>
      </c>
      <c r="H174" s="63" t="s">
        <v>59</v>
      </c>
      <c r="I174" s="234" t="str">
        <f>"value, with "&amp;F176&amp;"% compatibility interval"</f>
        <v>value, with 90% compatibility interval</v>
      </c>
      <c r="J174" s="235"/>
      <c r="K174" s="234" t="str">
        <f>"or value, with ±"&amp;F176&amp;"% compatibility limits"</f>
        <v>or value, with ±90% compatibility limits</v>
      </c>
      <c r="L174" s="235"/>
      <c r="M174" s="211" t="str">
        <f>"beneficial or
substantially "&amp;G175</f>
        <v>beneficial or
substantially ???</v>
      </c>
      <c r="N174" s="212"/>
      <c r="O174" s="215" t="s">
        <v>24</v>
      </c>
      <c r="P174" s="216"/>
      <c r="Q174" s="202" t="str">
        <f>"harmful or 
substantially "&amp;H175</f>
        <v>harmful or 
substantially ???</v>
      </c>
      <c r="R174" s="203"/>
      <c r="S174" s="201" t="s">
        <v>90</v>
      </c>
      <c r="U174" s="241" t="s">
        <v>112</v>
      </c>
      <c r="V174" s="242"/>
      <c r="W174" s="243"/>
      <c r="X174" s="56" t="s">
        <v>54</v>
      </c>
      <c r="Y174" s="42"/>
      <c r="Z174" s="19"/>
      <c r="AA174" s="19"/>
      <c r="AB174" s="20" t="s">
        <v>35</v>
      </c>
      <c r="AC174" s="20" t="s">
        <v>36</v>
      </c>
    </row>
    <row r="175" spans="2:29" s="21" customFormat="1" ht="12.75" customHeight="1">
      <c r="B175" s="108"/>
      <c r="C175" s="199"/>
      <c r="D175" s="240"/>
      <c r="E175" s="200"/>
      <c r="F175" s="200"/>
      <c r="G175" s="62" t="str">
        <f>IF(ISBLANK(G176),"???",IF(G176&lt;0,"-ive","+ive"))</f>
        <v>???</v>
      </c>
      <c r="H175" s="64" t="str">
        <f>IF(TYPE(H176)=2,"???",IF(H176&lt;0,"-ive","+ive"))</f>
        <v>???</v>
      </c>
      <c r="I175" s="236"/>
      <c r="J175" s="237"/>
      <c r="K175" s="236"/>
      <c r="L175" s="237"/>
      <c r="M175" s="213"/>
      <c r="N175" s="214"/>
      <c r="O175" s="217"/>
      <c r="P175" s="218"/>
      <c r="Q175" s="204"/>
      <c r="R175" s="205"/>
      <c r="S175" s="201"/>
      <c r="U175" s="50" t="s">
        <v>27</v>
      </c>
      <c r="V175" s="51" t="s">
        <v>28</v>
      </c>
      <c r="W175" s="43" t="s">
        <v>29</v>
      </c>
      <c r="X175" s="22" t="s">
        <v>55</v>
      </c>
      <c r="Y175" s="43" t="s">
        <v>37</v>
      </c>
      <c r="Z175" s="23" t="s">
        <v>38</v>
      </c>
      <c r="AA175" s="23" t="s">
        <v>53</v>
      </c>
      <c r="AB175" s="23" t="s">
        <v>39</v>
      </c>
      <c r="AC175" s="23" t="s">
        <v>39</v>
      </c>
    </row>
    <row r="176" spans="2:29" ht="12.75" customHeight="1">
      <c r="B176" s="79"/>
      <c r="C176" s="200"/>
      <c r="D176" s="24"/>
      <c r="E176" s="25"/>
      <c r="F176" s="37">
        <f>$H$32</f>
        <v>90</v>
      </c>
      <c r="G176" s="38"/>
      <c r="H176" s="37" t="str">
        <f>IF(ISBLANK(G176)," ",-G176)</f>
        <v> </v>
      </c>
      <c r="I176" s="219" t="e">
        <f>ROUND(E176,2)&amp;", "&amp;ROUND(U176,2)&amp;" to "&amp;ROUND(V176,2)</f>
        <v>#NUM!</v>
      </c>
      <c r="J176" s="220"/>
      <c r="K176" s="221" t="e">
        <f>ROUND(E176,2)&amp;", ±"&amp;ROUND(W176,2)</f>
        <v>#NUM!</v>
      </c>
      <c r="L176" s="222"/>
      <c r="M176" s="94" t="e">
        <f>100*IF(G176&gt;0,1-NORMDIST(AB176,X176,AA176,TRUE),NORMDIST(AB176,X176,AA176,TRUE))</f>
        <v>#NUM!</v>
      </c>
      <c r="N176" s="95" t="str">
        <f>"%"</f>
        <v>%</v>
      </c>
      <c r="O176" s="94" t="e">
        <f>100-M176-Q176</f>
        <v>#NUM!</v>
      </c>
      <c r="P176" s="95" t="str">
        <f>"%"</f>
        <v>%</v>
      </c>
      <c r="Q176" s="94" t="e">
        <f>100*IF(H176&lt;0,NORMDIST(AC176,X176,AA176,TRUE),1-NORMDIST(AC176,X176,AA176,TRUE))</f>
        <v>#VALUE!</v>
      </c>
      <c r="R176" s="95" t="str">
        <f>"%"</f>
        <v>%</v>
      </c>
      <c r="S176" s="154" t="e">
        <f>M176/(100-M176)/(Q176/(100-Q176))</f>
        <v>#NUM!</v>
      </c>
      <c r="U176" s="167" t="e">
        <f>(EXP(2*Y176)-1)/(EXP(2*Y176)+1)</f>
        <v>#NUM!</v>
      </c>
      <c r="V176" s="168" t="e">
        <f>(EXP(2*Z176)-1)/(EXP(2*Z176)+1)</f>
        <v>#NUM!</v>
      </c>
      <c r="W176" s="166" t="e">
        <f>(V176-U176)/2</f>
        <v>#NUM!</v>
      </c>
      <c r="X176" s="26">
        <f>0.5*LN((1+E176)/(1-E176))</f>
        <v>0</v>
      </c>
      <c r="Y176" s="27" t="e">
        <f>X176+NORMSINV((100-F176)/100/2)/SQRT(D176-3)</f>
        <v>#NUM!</v>
      </c>
      <c r="Z176" s="28" t="e">
        <f>X176-NORMSINV((100-F176)/100/2)/SQRT(D176-3)</f>
        <v>#NUM!</v>
      </c>
      <c r="AA176" s="28" t="e">
        <f>1/SQRT(D176-3)</f>
        <v>#NUM!</v>
      </c>
      <c r="AB176" s="28">
        <f>0.5*LN((1+G176)/(1-G176))</f>
        <v>0</v>
      </c>
      <c r="AC176" s="28" t="e">
        <f>0.5*LN((1+H176)/(1-H176))</f>
        <v>#VALUE!</v>
      </c>
    </row>
    <row r="177" spans="2:19" ht="12.75" customHeight="1">
      <c r="B177" s="79"/>
      <c r="C177" s="223" t="e">
        <f>"Clinical decision: "&amp;IF(M176&lt;$I$51,IF(MAX(O176,Q176)=O176,O177&amp;" trivial; don't use",Q177&amp;" harmful; don't use"),IF(Q176&lt;$E$51,M177&amp;" beneficial; consider using it","unclear; don't use; get more data"))&amp;".   Non-clinical decision: "&amp;IF(MIN(M176,Q176)&gt;$G$51,"unclear; get more data",IF(M176&gt;$I$51,M177&amp;" "&amp;G175,IF(Q176&gt;$I$51,Q177&amp;" "&amp;H175,O177&amp;" trivial")))&amp;"."</f>
        <v>#NUM!</v>
      </c>
      <c r="D177" s="224"/>
      <c r="E177" s="224"/>
      <c r="F177" s="224"/>
      <c r="G177" s="224"/>
      <c r="H177" s="224"/>
      <c r="I177" s="224"/>
      <c r="J177" s="224"/>
      <c r="K177" s="224"/>
      <c r="L177" s="225"/>
      <c r="M177" s="206" t="e">
        <f>IF(M176&lt;$E$51,$D$51,IF(M176&lt;$G$51,$F$51,IF(M176&lt;$I$51,$H$51,IF(M176&lt;$K$51,$J$51,IF(M176&lt;$M$51,$L$51,IF(M176&lt;$O$51,$N$51,$P$51))))))</f>
        <v>#NUM!</v>
      </c>
      <c r="N177" s="207"/>
      <c r="O177" s="206" t="e">
        <f>IF(O176&lt;$E$51,$D$51,IF(O176&lt;$G$51,$F$51,IF(O176&lt;$I$51,$H$51,IF(O176&lt;$K$51,$J$51,IF(O176&lt;$M$51,$L$51,IF(O176&lt;$O$51,$N$51,$P$51))))))</f>
        <v>#NUM!</v>
      </c>
      <c r="P177" s="207"/>
      <c r="Q177" s="206" t="e">
        <f>IF(Q176&lt;$E$51,$D$51,IF(Q176&lt;$G$51,$F$51,IF(Q176&lt;$I$51,$H$51,IF(Q176&lt;$K$51,$J$51,IF(Q176&lt;$M$51,$L$51,IF(Q176&lt;$O$51,$N$51,$P$51))))))</f>
        <v>#VALUE!</v>
      </c>
      <c r="R177" s="207"/>
      <c r="S177" s="81"/>
    </row>
    <row r="178" spans="2:19" ht="13.5" thickBot="1">
      <c r="B178" s="85"/>
      <c r="C178" s="86"/>
      <c r="D178" s="86"/>
      <c r="E178" s="86"/>
      <c r="F178" s="86"/>
      <c r="G178" s="86"/>
      <c r="H178" s="172">
        <f>IF(ISNUMBER(G176),IF(OR(SIGN(G176)=SIGN(H176),G176=0,H176=0),"ERROR: thresholds must be non-zero and opposite in sign.",""),"")</f>
      </c>
      <c r="I178" s="182" t="e">
        <f>IF(AND(S176&gt;$I$51/(100-$I$51)/($E$51/(100-$E$51)),OR(Q176&gt;$E$51,M176&lt;$I$51)),"Less conservative clinical decision: "&amp;M177&amp;" beneficial; consider using it, because odds ratio is &gt;"&amp;ROUND($I$51/(100-$I$51)/($E$51/(100-$E$51)),1)&amp;".","")</f>
        <v>#NUM!</v>
      </c>
      <c r="J178" s="183"/>
      <c r="K178" s="183"/>
      <c r="L178" s="183"/>
      <c r="M178" s="184"/>
      <c r="N178" s="185"/>
      <c r="O178" s="183"/>
      <c r="P178" s="186"/>
      <c r="Q178" s="183"/>
      <c r="R178" s="183"/>
      <c r="S178" s="90"/>
    </row>
    <row r="179" ht="13.5" thickBot="1">
      <c r="Q179" s="1"/>
    </row>
    <row r="180" spans="2:19" s="4" customFormat="1" ht="15">
      <c r="B180" s="131" t="s">
        <v>79</v>
      </c>
      <c r="C180" s="132"/>
      <c r="D180" s="132"/>
      <c r="E180" s="132"/>
      <c r="F180" s="132"/>
      <c r="G180" s="132"/>
      <c r="H180" s="132"/>
      <c r="I180" s="132"/>
      <c r="J180" s="132"/>
      <c r="K180" s="132"/>
      <c r="L180" s="132"/>
      <c r="M180" s="132"/>
      <c r="N180" s="132"/>
      <c r="O180" s="132"/>
      <c r="P180" s="132"/>
      <c r="Q180" s="132"/>
      <c r="R180" s="132"/>
      <c r="S180" s="133"/>
    </row>
    <row r="181" spans="2:19" ht="12.75">
      <c r="B181" s="74" t="s">
        <v>171</v>
      </c>
      <c r="C181" s="2"/>
      <c r="D181" s="2"/>
      <c r="E181" s="2"/>
      <c r="F181" s="2"/>
      <c r="G181" s="2"/>
      <c r="H181" s="2"/>
      <c r="I181" s="2"/>
      <c r="J181" s="2"/>
      <c r="K181" s="2"/>
      <c r="L181" s="2"/>
      <c r="M181" s="2"/>
      <c r="N181" s="2"/>
      <c r="O181" s="2"/>
      <c r="P181" s="2"/>
      <c r="S181" s="75"/>
    </row>
    <row r="182" spans="2:19" ht="12.75">
      <c r="B182" s="74" t="s">
        <v>172</v>
      </c>
      <c r="C182" s="2"/>
      <c r="D182" s="2"/>
      <c r="E182" s="2"/>
      <c r="F182" s="2"/>
      <c r="G182" s="2"/>
      <c r="H182" s="2"/>
      <c r="I182" s="2"/>
      <c r="J182" s="2"/>
      <c r="K182" s="2"/>
      <c r="L182" s="2"/>
      <c r="M182" s="2"/>
      <c r="N182" s="2"/>
      <c r="O182" s="2"/>
      <c r="P182" s="2"/>
      <c r="S182" s="75"/>
    </row>
    <row r="183" spans="2:19" ht="12.75">
      <c r="B183" s="74"/>
      <c r="C183" s="2" t="s">
        <v>126</v>
      </c>
      <c r="D183" s="2"/>
      <c r="E183" s="2"/>
      <c r="F183" s="2"/>
      <c r="G183" s="2"/>
      <c r="H183" s="2"/>
      <c r="I183" s="2"/>
      <c r="J183" s="2"/>
      <c r="K183" s="2"/>
      <c r="L183" s="2"/>
      <c r="M183" s="2"/>
      <c r="N183" s="2"/>
      <c r="O183" s="2"/>
      <c r="P183" s="2"/>
      <c r="S183" s="75"/>
    </row>
    <row r="184" spans="2:19" ht="12.75">
      <c r="B184" s="74" t="s">
        <v>127</v>
      </c>
      <c r="C184" s="2"/>
      <c r="D184" s="2"/>
      <c r="E184" s="2"/>
      <c r="F184" s="2"/>
      <c r="G184" s="2"/>
      <c r="H184" s="2"/>
      <c r="I184" s="2"/>
      <c r="J184" s="2"/>
      <c r="K184" s="2"/>
      <c r="L184" s="2"/>
      <c r="M184" s="2"/>
      <c r="N184" s="2"/>
      <c r="O184" s="2"/>
      <c r="P184" s="2"/>
      <c r="S184" s="75"/>
    </row>
    <row r="185" spans="2:19" ht="12.75">
      <c r="B185" s="74"/>
      <c r="C185" s="2" t="s">
        <v>123</v>
      </c>
      <c r="D185" s="2"/>
      <c r="E185" s="2"/>
      <c r="F185" s="2"/>
      <c r="G185" s="2"/>
      <c r="H185" s="2"/>
      <c r="I185" s="2"/>
      <c r="J185" s="2"/>
      <c r="K185" s="2"/>
      <c r="L185" s="2"/>
      <c r="M185" s="2"/>
      <c r="N185" s="2"/>
      <c r="O185" s="2"/>
      <c r="P185" s="2"/>
      <c r="S185" s="75"/>
    </row>
    <row r="186" spans="2:19" ht="12.75">
      <c r="B186" s="74"/>
      <c r="C186" s="2" t="s">
        <v>173</v>
      </c>
      <c r="D186" s="2"/>
      <c r="E186" s="2"/>
      <c r="F186" s="2"/>
      <c r="G186" s="2"/>
      <c r="H186" s="2"/>
      <c r="I186" s="2"/>
      <c r="J186" s="2"/>
      <c r="K186" s="2"/>
      <c r="L186" s="2"/>
      <c r="M186" s="2"/>
      <c r="N186" s="2"/>
      <c r="O186" s="2"/>
      <c r="P186" s="2"/>
      <c r="S186" s="75"/>
    </row>
    <row r="187" spans="2:19" ht="12.75">
      <c r="B187" s="74" t="s">
        <v>133</v>
      </c>
      <c r="C187" s="2"/>
      <c r="D187" s="2"/>
      <c r="E187" s="2"/>
      <c r="F187" s="2"/>
      <c r="G187" s="2"/>
      <c r="H187" s="2"/>
      <c r="I187" s="2"/>
      <c r="J187" s="2"/>
      <c r="K187" s="2"/>
      <c r="L187" s="2"/>
      <c r="M187" s="2"/>
      <c r="N187" s="2"/>
      <c r="O187" s="2"/>
      <c r="P187" s="2"/>
      <c r="S187" s="75"/>
    </row>
    <row r="188" spans="2:19" ht="12.75">
      <c r="B188" s="74"/>
      <c r="C188" s="2" t="s">
        <v>132</v>
      </c>
      <c r="D188" s="2"/>
      <c r="E188" s="2"/>
      <c r="F188" s="2"/>
      <c r="G188" s="2"/>
      <c r="H188" s="2"/>
      <c r="I188" s="2"/>
      <c r="J188" s="2"/>
      <c r="K188" s="2"/>
      <c r="L188" s="2"/>
      <c r="M188" s="2"/>
      <c r="N188" s="2"/>
      <c r="O188" s="2"/>
      <c r="P188" s="2"/>
      <c r="S188" s="75"/>
    </row>
    <row r="189" spans="2:19" ht="6" customHeight="1">
      <c r="B189" s="74"/>
      <c r="C189" s="2"/>
      <c r="D189" s="2"/>
      <c r="E189" s="2"/>
      <c r="F189" s="2"/>
      <c r="G189" s="2"/>
      <c r="H189" s="2"/>
      <c r="I189" s="2"/>
      <c r="J189" s="2"/>
      <c r="K189" s="2"/>
      <c r="L189" s="2"/>
      <c r="M189" s="2"/>
      <c r="N189" s="2"/>
      <c r="O189" s="2"/>
      <c r="P189" s="2"/>
      <c r="S189" s="75"/>
    </row>
    <row r="190" spans="2:19" ht="12.75">
      <c r="B190" s="74" t="s">
        <v>121</v>
      </c>
      <c r="C190" s="2"/>
      <c r="D190" s="2"/>
      <c r="E190" s="2"/>
      <c r="F190" s="2"/>
      <c r="G190" s="2"/>
      <c r="H190" s="2"/>
      <c r="I190" s="2"/>
      <c r="J190" s="2"/>
      <c r="K190" s="2"/>
      <c r="L190" s="2"/>
      <c r="M190" s="2"/>
      <c r="N190" s="2"/>
      <c r="O190" s="2"/>
      <c r="P190" s="2"/>
      <c r="S190" s="75"/>
    </row>
    <row r="191" spans="2:19" ht="5.25" customHeight="1">
      <c r="B191" s="74"/>
      <c r="C191" s="2"/>
      <c r="D191" s="2"/>
      <c r="E191" s="2"/>
      <c r="F191" s="2"/>
      <c r="G191" s="2"/>
      <c r="H191" s="2"/>
      <c r="I191" s="2"/>
      <c r="J191" s="2"/>
      <c r="K191" s="2"/>
      <c r="L191" s="2"/>
      <c r="M191" s="2"/>
      <c r="N191" s="2"/>
      <c r="O191" s="2"/>
      <c r="P191" s="2"/>
      <c r="S191" s="75"/>
    </row>
    <row r="192" spans="2:19" ht="12.75">
      <c r="B192" s="74" t="s">
        <v>40</v>
      </c>
      <c r="C192" s="2"/>
      <c r="D192" s="2"/>
      <c r="E192" s="2"/>
      <c r="F192" s="2"/>
      <c r="G192" s="2"/>
      <c r="H192" s="2"/>
      <c r="I192" s="2"/>
      <c r="J192" s="2"/>
      <c r="K192" s="2"/>
      <c r="L192" s="2"/>
      <c r="M192" s="2"/>
      <c r="N192" s="2"/>
      <c r="O192" s="2"/>
      <c r="P192" s="2"/>
      <c r="S192" s="75"/>
    </row>
    <row r="193" spans="2:19" ht="12.75">
      <c r="B193" s="74" t="s">
        <v>60</v>
      </c>
      <c r="C193" s="2"/>
      <c r="D193" s="2"/>
      <c r="E193" s="2"/>
      <c r="F193" s="2"/>
      <c r="G193" s="2"/>
      <c r="H193" s="2"/>
      <c r="I193" s="2"/>
      <c r="J193" s="2"/>
      <c r="K193" s="2"/>
      <c r="L193" s="2"/>
      <c r="M193" s="2"/>
      <c r="N193" s="2"/>
      <c r="O193" s="2"/>
      <c r="P193" s="2"/>
      <c r="S193" s="75"/>
    </row>
    <row r="194" spans="2:19" ht="12.75">
      <c r="B194" s="74" t="s">
        <v>122</v>
      </c>
      <c r="C194" s="2"/>
      <c r="D194" s="2"/>
      <c r="E194" s="2"/>
      <c r="F194" s="2"/>
      <c r="G194" s="2"/>
      <c r="H194" s="2"/>
      <c r="I194" s="2"/>
      <c r="J194" s="2"/>
      <c r="K194" s="2"/>
      <c r="L194" s="2"/>
      <c r="M194" s="2"/>
      <c r="N194" s="2"/>
      <c r="O194" s="2"/>
      <c r="P194" s="2"/>
      <c r="S194" s="75"/>
    </row>
    <row r="195" spans="2:19" ht="4.5" customHeight="1">
      <c r="B195" s="74"/>
      <c r="C195" s="2"/>
      <c r="D195" s="2"/>
      <c r="E195" s="2"/>
      <c r="F195" s="2"/>
      <c r="G195" s="2"/>
      <c r="H195" s="2"/>
      <c r="I195" s="2"/>
      <c r="J195" s="2"/>
      <c r="K195" s="2"/>
      <c r="L195" s="2"/>
      <c r="M195" s="2"/>
      <c r="N195" s="2"/>
      <c r="O195" s="2"/>
      <c r="P195" s="2"/>
      <c r="S195" s="75"/>
    </row>
    <row r="196" spans="2:19" ht="12.75">
      <c r="B196" s="74" t="s">
        <v>174</v>
      </c>
      <c r="C196" s="2"/>
      <c r="D196" s="2"/>
      <c r="E196" s="2"/>
      <c r="F196" s="2"/>
      <c r="G196" s="2"/>
      <c r="H196" s="2"/>
      <c r="I196" s="2"/>
      <c r="J196" s="2"/>
      <c r="K196" s="2"/>
      <c r="L196" s="2"/>
      <c r="M196" s="2"/>
      <c r="N196" s="2"/>
      <c r="O196" s="2"/>
      <c r="P196" s="2"/>
      <c r="S196" s="75"/>
    </row>
    <row r="197" spans="2:21" ht="12.75">
      <c r="B197" s="74"/>
      <c r="C197" s="2"/>
      <c r="D197" s="2"/>
      <c r="E197" s="2"/>
      <c r="F197" s="2"/>
      <c r="G197" s="2"/>
      <c r="H197" s="2"/>
      <c r="I197" s="2"/>
      <c r="J197" s="2"/>
      <c r="K197" s="2"/>
      <c r="L197" s="2"/>
      <c r="M197" s="2"/>
      <c r="N197" s="2"/>
      <c r="O197" s="2"/>
      <c r="P197" s="2"/>
      <c r="S197" s="75"/>
      <c r="U197" s="21" t="s">
        <v>95</v>
      </c>
    </row>
    <row r="198" spans="2:23" ht="12.75" customHeight="1">
      <c r="B198" s="79"/>
      <c r="C198" s="65"/>
      <c r="D198" s="109"/>
      <c r="E198" s="110"/>
      <c r="F198" s="110"/>
      <c r="G198" s="110"/>
      <c r="H198" s="110"/>
      <c r="I198" s="267" t="s">
        <v>96</v>
      </c>
      <c r="J198" s="268"/>
      <c r="K198" s="268"/>
      <c r="L198" s="269"/>
      <c r="M198" s="270" t="s">
        <v>118</v>
      </c>
      <c r="N198" s="209"/>
      <c r="O198" s="209"/>
      <c r="P198" s="210"/>
      <c r="Q198" s="65"/>
      <c r="R198" s="65"/>
      <c r="S198" s="81"/>
      <c r="U198" s="160" t="s">
        <v>94</v>
      </c>
      <c r="V198" s="160" t="s">
        <v>94</v>
      </c>
      <c r="W198" s="160" t="s">
        <v>94</v>
      </c>
    </row>
    <row r="199" spans="2:23" ht="12.75" customHeight="1">
      <c r="B199" s="79"/>
      <c r="C199" s="55" t="s">
        <v>57</v>
      </c>
      <c r="D199" s="53" t="s">
        <v>22</v>
      </c>
      <c r="E199" s="15" t="s">
        <v>23</v>
      </c>
      <c r="F199" s="110"/>
      <c r="G199" s="190" t="s">
        <v>116</v>
      </c>
      <c r="H199" s="110"/>
      <c r="I199" s="254" t="str">
        <f>"SD, with "&amp;E201&amp;"% compatibility interval"</f>
        <v>SD, with 90% compatibility interval</v>
      </c>
      <c r="J199" s="235"/>
      <c r="K199" s="234" t="str">
        <f>"SD, with ×/÷"&amp;E201&amp;"% compatibility limits"</f>
        <v>SD, with ×/÷90% compatibility limits</v>
      </c>
      <c r="L199" s="235"/>
      <c r="M199" s="271" t="s">
        <v>119</v>
      </c>
      <c r="N199" s="272"/>
      <c r="O199" s="215" t="s">
        <v>120</v>
      </c>
      <c r="P199" s="216"/>
      <c r="Q199" s="65"/>
      <c r="R199" s="65"/>
      <c r="S199" s="81"/>
      <c r="U199" s="251" t="s">
        <v>112</v>
      </c>
      <c r="V199" s="252"/>
      <c r="W199" s="253"/>
    </row>
    <row r="200" spans="2:23" ht="25.5">
      <c r="B200" s="79"/>
      <c r="C200" s="43" t="s">
        <v>41</v>
      </c>
      <c r="D200" s="57" t="s">
        <v>25</v>
      </c>
      <c r="E200" s="54" t="s">
        <v>26</v>
      </c>
      <c r="F200" s="110"/>
      <c r="G200" s="191" t="s">
        <v>117</v>
      </c>
      <c r="H200" s="110"/>
      <c r="I200" s="255"/>
      <c r="J200" s="237"/>
      <c r="K200" s="236"/>
      <c r="L200" s="237"/>
      <c r="M200" s="273"/>
      <c r="N200" s="274"/>
      <c r="O200" s="217"/>
      <c r="P200" s="218"/>
      <c r="Q200" s="65"/>
      <c r="R200" s="65"/>
      <c r="S200" s="81"/>
      <c r="U200" s="22" t="s">
        <v>42</v>
      </c>
      <c r="V200" s="23" t="s">
        <v>43</v>
      </c>
      <c r="W200" s="52" t="s">
        <v>31</v>
      </c>
    </row>
    <row r="201" spans="2:23" ht="12.75">
      <c r="B201" s="79"/>
      <c r="C201" s="11">
        <v>1.8</v>
      </c>
      <c r="D201" s="192">
        <v>9</v>
      </c>
      <c r="E201" s="37">
        <f>$H$32</f>
        <v>90</v>
      </c>
      <c r="F201" s="110"/>
      <c r="G201" s="189">
        <v>1</v>
      </c>
      <c r="H201" s="110"/>
      <c r="I201" s="245" t="str">
        <f>ROUND(C201,1-INT(IF(ISERROR(LOG10(ABS(C201))),0,LOG10(ABS(C201)))))&amp;", "&amp;ROUND(U201,1-INT(IF(ISERROR(LOG10(ABS(U201))),0,LOG10(ABS(U201)))))&amp;" to "&amp;ROUND(V201,1-INT(IF(ISERROR(LOG10(ABS(V201))),0,LOG10(ABS(V201)))))</f>
        <v>1.8, 1.3 to 3</v>
      </c>
      <c r="J201" s="246"/>
      <c r="K201" s="245" t="str">
        <f>ROUND(C201,1-INT(IF(ISERROR(LOG10(ABS(C201))),0,LOG10(ABS(C201)))))&amp;", ×/÷"&amp;ROUND(W201,2)</f>
        <v>1.8, ×/÷1.5</v>
      </c>
      <c r="L201" s="247"/>
      <c r="M201" s="194">
        <f>100*_xlfn.CHISQ.DIST(D201*C201^2/G201^2,D201,1)</f>
        <v>99.93910288971087</v>
      </c>
      <c r="N201" s="195" t="str">
        <f>"%"</f>
        <v>%</v>
      </c>
      <c r="O201" s="94">
        <f>100-M201</f>
        <v>0.06089711028913314</v>
      </c>
      <c r="P201" s="95" t="str">
        <f>"%"</f>
        <v>%</v>
      </c>
      <c r="Q201" s="65"/>
      <c r="R201" s="65"/>
      <c r="S201" s="81"/>
      <c r="U201" s="167">
        <f>SQRT(D201*C201^2/CHIINV((100-E201)/100/2,D201))</f>
        <v>1.312824587963013</v>
      </c>
      <c r="V201" s="168">
        <f>SQRT(D201*C201^2/CHIINV(1-(100-E201)/100/2,D201))</f>
        <v>2.9613556339095983</v>
      </c>
      <c r="W201" s="166">
        <f>SQRT(V201/U201)</f>
        <v>1.501903162584035</v>
      </c>
    </row>
    <row r="202" spans="2:21" ht="12.75">
      <c r="B202" s="79"/>
      <c r="C202" s="116"/>
      <c r="D202" s="117"/>
      <c r="E202" s="118"/>
      <c r="F202" s="110"/>
      <c r="G202" s="110"/>
      <c r="H202" s="110"/>
      <c r="I202" s="65"/>
      <c r="J202" s="65"/>
      <c r="K202" s="65"/>
      <c r="L202" s="65"/>
      <c r="M202" s="256" t="str">
        <f>IF(M201&lt;$E$51,$D$51,IF(M201&lt;$G$51,$F$51,IF(M201&lt;$I$51,$H$51,IF(M201&lt;$K$51,$J$51,IF(M201&lt;$M$51,$L$51,IF(M201&lt;$O$51,$N$51,$P$51))))))</f>
        <v>most likely</v>
      </c>
      <c r="N202" s="207"/>
      <c r="O202" s="206" t="str">
        <f>IF(O201&lt;$E$51,$D$51,IF(O201&lt;$G$51,$F$51,IF(O201&lt;$I$51,$H$51,IF(O201&lt;$K$51,$J$51,IF(O201&lt;$M$51,$L$51,IF(O201&lt;$O$51,$N$51,$P$51))))))</f>
        <v>most unlikely</v>
      </c>
      <c r="P202" s="207"/>
      <c r="Q202" s="65"/>
      <c r="R202" s="119"/>
      <c r="S202" s="120"/>
      <c r="T202" s="44"/>
      <c r="U202" s="46"/>
    </row>
    <row r="203" spans="2:21" ht="12.75">
      <c r="B203" s="79"/>
      <c r="C203" s="116"/>
      <c r="D203" s="117"/>
      <c r="E203" s="118"/>
      <c r="F203" s="110"/>
      <c r="G203" s="110"/>
      <c r="H203" s="110"/>
      <c r="I203" s="65"/>
      <c r="J203" s="65"/>
      <c r="K203" s="65"/>
      <c r="L203" s="65"/>
      <c r="M203" s="270" t="s">
        <v>118</v>
      </c>
      <c r="N203" s="209"/>
      <c r="O203" s="209"/>
      <c r="P203" s="210"/>
      <c r="Q203" s="65"/>
      <c r="R203" s="119"/>
      <c r="S203" s="120"/>
      <c r="T203" s="44"/>
      <c r="U203" s="46"/>
    </row>
    <row r="204" spans="2:23" ht="12.75" customHeight="1">
      <c r="B204" s="79"/>
      <c r="C204" s="55" t="s">
        <v>57</v>
      </c>
      <c r="D204" s="53" t="s">
        <v>22</v>
      </c>
      <c r="E204" s="15" t="s">
        <v>23</v>
      </c>
      <c r="F204" s="110"/>
      <c r="G204" s="190" t="s">
        <v>116</v>
      </c>
      <c r="H204" s="110"/>
      <c r="I204" s="254" t="str">
        <f>"SD, with "&amp;E206&amp;"% compatibility interval"</f>
        <v>SD, with 90% compatibility interval</v>
      </c>
      <c r="J204" s="235"/>
      <c r="K204" s="234" t="str">
        <f>"SD, with ×/÷"&amp;E206&amp;"% compatibility limits"</f>
        <v>SD, with ×/÷90% compatibility limits</v>
      </c>
      <c r="L204" s="235"/>
      <c r="M204" s="271" t="s">
        <v>119</v>
      </c>
      <c r="N204" s="272"/>
      <c r="O204" s="215" t="s">
        <v>120</v>
      </c>
      <c r="P204" s="216"/>
      <c r="Q204" s="65"/>
      <c r="R204" s="65"/>
      <c r="S204" s="81"/>
      <c r="U204" s="251" t="s">
        <v>112</v>
      </c>
      <c r="V204" s="252"/>
      <c r="W204" s="253"/>
    </row>
    <row r="205" spans="2:23" ht="25.5">
      <c r="B205" s="79"/>
      <c r="C205" s="43" t="s">
        <v>41</v>
      </c>
      <c r="D205" s="57" t="s">
        <v>25</v>
      </c>
      <c r="E205" s="54" t="s">
        <v>26</v>
      </c>
      <c r="F205" s="110"/>
      <c r="G205" s="191" t="s">
        <v>117</v>
      </c>
      <c r="H205" s="110"/>
      <c r="I205" s="255"/>
      <c r="J205" s="237"/>
      <c r="K205" s="236"/>
      <c r="L205" s="237"/>
      <c r="M205" s="273"/>
      <c r="N205" s="274"/>
      <c r="O205" s="217"/>
      <c r="P205" s="218"/>
      <c r="Q205" s="65"/>
      <c r="R205" s="65"/>
      <c r="S205" s="81"/>
      <c r="U205" s="22" t="s">
        <v>42</v>
      </c>
      <c r="V205" s="23" t="s">
        <v>43</v>
      </c>
      <c r="W205" s="52" t="s">
        <v>31</v>
      </c>
    </row>
    <row r="206" spans="2:23" ht="12.75">
      <c r="B206" s="79"/>
      <c r="C206" s="11"/>
      <c r="D206" s="192"/>
      <c r="E206" s="37">
        <f>$H$32</f>
        <v>90</v>
      </c>
      <c r="F206" s="110"/>
      <c r="G206" s="189"/>
      <c r="H206" s="110"/>
      <c r="I206" s="245" t="e">
        <f>ROUND(C206,1-INT(IF(ISERROR(LOG10(ABS(C206))),0,LOG10(ABS(C206)))))&amp;", "&amp;ROUND(U206,1-INT(IF(ISERROR(LOG10(ABS(U206))),0,LOG10(ABS(U206)))))&amp;" to "&amp;ROUND(V206,1-INT(IF(ISERROR(LOG10(ABS(V206))),0,LOG10(ABS(V206)))))</f>
        <v>#NUM!</v>
      </c>
      <c r="J206" s="246"/>
      <c r="K206" s="245" t="e">
        <f>ROUND(C206,1-INT(IF(ISERROR(LOG10(ABS(C206))),0,LOG10(ABS(C206)))))&amp;", ×/÷"&amp;ROUND(W206,2)</f>
        <v>#NUM!</v>
      </c>
      <c r="L206" s="247"/>
      <c r="M206" s="194" t="e">
        <f>100*_xlfn.CHISQ.DIST(D206*C206^2/G206^2,D206,1)</f>
        <v>#DIV/0!</v>
      </c>
      <c r="N206" s="195" t="str">
        <f>"%"</f>
        <v>%</v>
      </c>
      <c r="O206" s="94" t="e">
        <f>100-M206</f>
        <v>#DIV/0!</v>
      </c>
      <c r="P206" s="95" t="str">
        <f>"%"</f>
        <v>%</v>
      </c>
      <c r="Q206" s="65"/>
      <c r="R206" s="65"/>
      <c r="S206" s="81"/>
      <c r="U206" s="167" t="e">
        <f>SQRT(D206*C206^2/CHIINV((100-E206)/100/2,D206))</f>
        <v>#NUM!</v>
      </c>
      <c r="V206" s="168" t="e">
        <f>SQRT(D206*C206^2/CHIINV(1-(100-E206)/100/2,D206))</f>
        <v>#NUM!</v>
      </c>
      <c r="W206" s="166" t="e">
        <f>SQRT(V206/U206)</f>
        <v>#NUM!</v>
      </c>
    </row>
    <row r="207" spans="2:21" ht="13.5" thickBot="1">
      <c r="B207" s="85"/>
      <c r="C207" s="86"/>
      <c r="D207" s="111"/>
      <c r="E207" s="112"/>
      <c r="F207" s="112"/>
      <c r="G207" s="112"/>
      <c r="H207" s="112"/>
      <c r="I207" s="113"/>
      <c r="J207" s="86"/>
      <c r="K207" s="86"/>
      <c r="L207" s="86"/>
      <c r="M207" s="256" t="e">
        <f>IF(M206&lt;$E$51,$D$51,IF(M206&lt;$G$51,$F$51,IF(M206&lt;$I$51,$H$51,IF(M206&lt;$K$51,$J$51,IF(M206&lt;$M$51,$L$51,IF(M206&lt;$O$51,$N$51,$P$51))))))</f>
        <v>#DIV/0!</v>
      </c>
      <c r="N207" s="207"/>
      <c r="O207" s="206" t="e">
        <f>IF(O206&lt;$E$51,$D$51,IF(O206&lt;$G$51,$F$51,IF(O206&lt;$I$51,$H$51,IF(O206&lt;$K$51,$J$51,IF(O206&lt;$M$51,$L$51,IF(O206&lt;$O$51,$N$51,$P$51))))))</f>
        <v>#DIV/0!</v>
      </c>
      <c r="P207" s="207"/>
      <c r="Q207" s="86"/>
      <c r="R207" s="114"/>
      <c r="S207" s="115"/>
      <c r="T207" s="44"/>
      <c r="U207" s="46"/>
    </row>
    <row r="208" ht="12.75"/>
    <row r="209" ht="12.75"/>
  </sheetData>
  <sheetProtection/>
  <mergeCells count="195">
    <mergeCell ref="M207:N207"/>
    <mergeCell ref="O207:P207"/>
    <mergeCell ref="M203:P203"/>
    <mergeCell ref="M199:N200"/>
    <mergeCell ref="O199:P200"/>
    <mergeCell ref="M198:P198"/>
    <mergeCell ref="O202:P202"/>
    <mergeCell ref="M204:N205"/>
    <mergeCell ref="O204:P205"/>
    <mergeCell ref="I198:L198"/>
    <mergeCell ref="Y127:Z128"/>
    <mergeCell ref="M121:R121"/>
    <mergeCell ref="I124:J124"/>
    <mergeCell ref="K124:L124"/>
    <mergeCell ref="C125:L125"/>
    <mergeCell ref="M125:N125"/>
    <mergeCell ref="D121:D123"/>
    <mergeCell ref="E121:E123"/>
    <mergeCell ref="K122:L123"/>
    <mergeCell ref="Q101:R101"/>
    <mergeCell ref="M97:R97"/>
    <mergeCell ref="M98:N99"/>
    <mergeCell ref="O98:P99"/>
    <mergeCell ref="Q98:R99"/>
    <mergeCell ref="B3:E3"/>
    <mergeCell ref="B4:E4"/>
    <mergeCell ref="F97:F99"/>
    <mergeCell ref="C101:L101"/>
    <mergeCell ref="E91:E93"/>
    <mergeCell ref="M122:N123"/>
    <mergeCell ref="O122:P123"/>
    <mergeCell ref="I97:L97"/>
    <mergeCell ref="I98:J99"/>
    <mergeCell ref="I120:L120"/>
    <mergeCell ref="C121:C123"/>
    <mergeCell ref="F121:F123"/>
    <mergeCell ref="G121:H121"/>
    <mergeCell ref="I121:L121"/>
    <mergeCell ref="G97:H97"/>
    <mergeCell ref="O95:P95"/>
    <mergeCell ref="M101:N101"/>
    <mergeCell ref="O101:P101"/>
    <mergeCell ref="C97:C99"/>
    <mergeCell ref="D97:D99"/>
    <mergeCell ref="K98:L99"/>
    <mergeCell ref="E97:E99"/>
    <mergeCell ref="K100:L100"/>
    <mergeCell ref="Q95:R95"/>
    <mergeCell ref="I94:J94"/>
    <mergeCell ref="K94:L94"/>
    <mergeCell ref="Y121:Z122"/>
    <mergeCell ref="U122:W122"/>
    <mergeCell ref="I122:J123"/>
    <mergeCell ref="U98:W98"/>
    <mergeCell ref="I100:J100"/>
    <mergeCell ref="S98:S99"/>
    <mergeCell ref="S122:S123"/>
    <mergeCell ref="K92:L93"/>
    <mergeCell ref="C95:L95"/>
    <mergeCell ref="I92:J93"/>
    <mergeCell ref="B16:K16"/>
    <mergeCell ref="I90:L90"/>
    <mergeCell ref="F91:F93"/>
    <mergeCell ref="I59:M59"/>
    <mergeCell ref="M95:N95"/>
    <mergeCell ref="Q92:R93"/>
    <mergeCell ref="U92:W92"/>
    <mergeCell ref="S92:S93"/>
    <mergeCell ref="C91:C93"/>
    <mergeCell ref="M91:R91"/>
    <mergeCell ref="M92:N93"/>
    <mergeCell ref="O92:P93"/>
    <mergeCell ref="D91:D93"/>
    <mergeCell ref="G91:H91"/>
    <mergeCell ref="I91:L91"/>
    <mergeCell ref="Y147:Z148"/>
    <mergeCell ref="U148:W148"/>
    <mergeCell ref="B12:H12"/>
    <mergeCell ref="B14:H14"/>
    <mergeCell ref="B13:K13"/>
    <mergeCell ref="B15:E15"/>
    <mergeCell ref="M145:N145"/>
    <mergeCell ref="M148:N149"/>
    <mergeCell ref="K144:L144"/>
    <mergeCell ref="D141:D143"/>
    <mergeCell ref="I199:J200"/>
    <mergeCell ref="K199:L200"/>
    <mergeCell ref="I201:J201"/>
    <mergeCell ref="K201:L201"/>
    <mergeCell ref="U199:W199"/>
    <mergeCell ref="I204:J205"/>
    <mergeCell ref="K204:L205"/>
    <mergeCell ref="M202:N202"/>
    <mergeCell ref="Y141:Z142"/>
    <mergeCell ref="O142:P143"/>
    <mergeCell ref="Q142:R143"/>
    <mergeCell ref="U142:W142"/>
    <mergeCell ref="M141:R141"/>
    <mergeCell ref="U204:W204"/>
    <mergeCell ref="U168:W168"/>
    <mergeCell ref="Q168:R169"/>
    <mergeCell ref="M151:N151"/>
    <mergeCell ref="Q171:R171"/>
    <mergeCell ref="U174:W174"/>
    <mergeCell ref="M173:R173"/>
    <mergeCell ref="M142:N143"/>
    <mergeCell ref="S168:S169"/>
    <mergeCell ref="M167:R167"/>
    <mergeCell ref="Q151:R151"/>
    <mergeCell ref="M171:N171"/>
    <mergeCell ref="O151:P151"/>
    <mergeCell ref="O168:P169"/>
    <mergeCell ref="O145:P145"/>
    <mergeCell ref="I176:J176"/>
    <mergeCell ref="K176:L176"/>
    <mergeCell ref="K174:L175"/>
    <mergeCell ref="S142:S143"/>
    <mergeCell ref="S148:S149"/>
    <mergeCell ref="S174:S175"/>
    <mergeCell ref="Q145:R145"/>
    <mergeCell ref="M147:R147"/>
    <mergeCell ref="O148:P149"/>
    <mergeCell ref="Q148:R149"/>
    <mergeCell ref="O177:P177"/>
    <mergeCell ref="M168:N169"/>
    <mergeCell ref="O171:P171"/>
    <mergeCell ref="I166:L166"/>
    <mergeCell ref="I148:J149"/>
    <mergeCell ref="Q177:R177"/>
    <mergeCell ref="Q174:R175"/>
    <mergeCell ref="M174:N175"/>
    <mergeCell ref="O174:P175"/>
    <mergeCell ref="M177:N177"/>
    <mergeCell ref="K148:L149"/>
    <mergeCell ref="I206:J206"/>
    <mergeCell ref="I144:J144"/>
    <mergeCell ref="C177:L177"/>
    <mergeCell ref="C171:L171"/>
    <mergeCell ref="K206:L206"/>
    <mergeCell ref="C145:L145"/>
    <mergeCell ref="D147:D149"/>
    <mergeCell ref="E147:E149"/>
    <mergeCell ref="I147:L147"/>
    <mergeCell ref="I140:L140"/>
    <mergeCell ref="F141:F143"/>
    <mergeCell ref="Q128:R129"/>
    <mergeCell ref="G141:H141"/>
    <mergeCell ref="I141:L141"/>
    <mergeCell ref="G147:H147"/>
    <mergeCell ref="U128:W128"/>
    <mergeCell ref="I130:J130"/>
    <mergeCell ref="K130:L130"/>
    <mergeCell ref="M131:N131"/>
    <mergeCell ref="O131:P131"/>
    <mergeCell ref="Q131:R131"/>
    <mergeCell ref="C131:L131"/>
    <mergeCell ref="K128:L129"/>
    <mergeCell ref="D127:D129"/>
    <mergeCell ref="E127:E129"/>
    <mergeCell ref="D173:D175"/>
    <mergeCell ref="I174:J175"/>
    <mergeCell ref="I173:L173"/>
    <mergeCell ref="F167:F169"/>
    <mergeCell ref="K168:L169"/>
    <mergeCell ref="C173:C176"/>
    <mergeCell ref="D167:D169"/>
    <mergeCell ref="E173:E175"/>
    <mergeCell ref="F173:F175"/>
    <mergeCell ref="G173:H173"/>
    <mergeCell ref="G127:H127"/>
    <mergeCell ref="F147:F149"/>
    <mergeCell ref="I127:L127"/>
    <mergeCell ref="I128:J129"/>
    <mergeCell ref="I170:J170"/>
    <mergeCell ref="C167:C170"/>
    <mergeCell ref="K170:L170"/>
    <mergeCell ref="I168:J169"/>
    <mergeCell ref="I142:J143"/>
    <mergeCell ref="K142:L143"/>
    <mergeCell ref="I150:J150"/>
    <mergeCell ref="K150:L150"/>
    <mergeCell ref="C151:L151"/>
    <mergeCell ref="E167:E169"/>
    <mergeCell ref="G167:H167"/>
    <mergeCell ref="I167:L167"/>
    <mergeCell ref="C127:C129"/>
    <mergeCell ref="E141:E143"/>
    <mergeCell ref="S128:S129"/>
    <mergeCell ref="Q122:R123"/>
    <mergeCell ref="O125:P125"/>
    <mergeCell ref="Q125:R125"/>
    <mergeCell ref="M127:R127"/>
    <mergeCell ref="M128:N129"/>
    <mergeCell ref="O128:P129"/>
    <mergeCell ref="F127:F129"/>
  </mergeCells>
  <hyperlinks>
    <hyperlink ref="B12" location="Sheet1!A52" display="1. Difference between Means and other Normally Distributed Effect Statistics"/>
    <hyperlink ref="B15:E15" location="corrs" display="3  Correlation Coefficient"/>
    <hyperlink ref="B16:K16" location="Sheet1!A199" display="5. Standard Deviation (SD), Coefficient of Variation (CV), or Root Mean Square Error (RMSE)"/>
    <hyperlink ref="B13:J13" location="logmeans" display="2.  Percent and Factor Difference between Means and other t-Distributed Effect Statistics"/>
    <hyperlink ref="B12:H12" location="means" display="1. Difference between Means and other t-Distributed Effect Statistics"/>
    <hyperlink ref="B14:H14" location="ratios" display="3. Rate Ratios and other Log-Normally Distributed Effect Statistics"/>
  </hyperlinks>
  <printOptions/>
  <pageMargins left="0.75" right="0.75" top="1" bottom="1" header="0.5" footer="0.5"/>
  <pageSetup horizontalDpi="1200" verticalDpi="12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Auckland University of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Reviewer</dc:creator>
  <cp:keywords/>
  <dc:description/>
  <cp:lastModifiedBy>Will</cp:lastModifiedBy>
  <dcterms:created xsi:type="dcterms:W3CDTF">2007-10-05T23:42:14Z</dcterms:created>
  <dcterms:modified xsi:type="dcterms:W3CDTF">2022-12-08T01:55:13Z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7dc88d9-fa17-47eb-a208-3e66f59d50e5_Enabled">
    <vt:lpwstr>true</vt:lpwstr>
  </property>
  <property fmtid="{D5CDD505-2E9C-101B-9397-08002B2CF9AE}" pid="3" name="MSIP_Label_d7dc88d9-fa17-47eb-a208-3e66f59d50e5_SetDate">
    <vt:lpwstr>2022-10-06T21:50:57Z</vt:lpwstr>
  </property>
  <property fmtid="{D5CDD505-2E9C-101B-9397-08002B2CF9AE}" pid="4" name="MSIP_Label_d7dc88d9-fa17-47eb-a208-3e66f59d50e5_Method">
    <vt:lpwstr>Standard</vt:lpwstr>
  </property>
  <property fmtid="{D5CDD505-2E9C-101B-9397-08002B2CF9AE}" pid="5" name="MSIP_Label_d7dc88d9-fa17-47eb-a208-3e66f59d50e5_Name">
    <vt:lpwstr>Internal</vt:lpwstr>
  </property>
  <property fmtid="{D5CDD505-2E9C-101B-9397-08002B2CF9AE}" pid="6" name="MSIP_Label_d7dc88d9-fa17-47eb-a208-3e66f59d50e5_SiteId">
    <vt:lpwstr>d51ba343-9258-4ea6-9907-426d8c84ec12</vt:lpwstr>
  </property>
  <property fmtid="{D5CDD505-2E9C-101B-9397-08002B2CF9AE}" pid="7" name="MSIP_Label_d7dc88d9-fa17-47eb-a208-3e66f59d50e5_ActionId">
    <vt:lpwstr>772d80c2-dc33-4936-b578-6c6fff51f79d</vt:lpwstr>
  </property>
  <property fmtid="{D5CDD505-2E9C-101B-9397-08002B2CF9AE}" pid="8" name="MSIP_Label_d7dc88d9-fa17-47eb-a208-3e66f59d50e5_ContentBits">
    <vt:lpwstr>0</vt:lpwstr>
  </property>
</Properties>
</file>