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4068" windowHeight="4212" tabRatio="768"/>
  </bookViews>
  <sheets>
    <sheet name="1-way" sheetId="30" r:id="rId1"/>
    <sheet name="2-way" sheetId="10" r:id="rId2"/>
    <sheet name="2-way for mixed model" sheetId="29" r:id="rId3"/>
    <sheet name="1-way missing data" sheetId="31" r:id="rId4"/>
    <sheet name="2-way missing data" sheetId="32" r:id="rId5"/>
    <sheet name="2-way missing for mixed model" sheetId="33" r:id="rId6"/>
  </sheets>
  <calcPr calcId="145621"/>
</workbook>
</file>

<file path=xl/calcChain.xml><?xml version="1.0" encoding="utf-8"?>
<calcChain xmlns="http://schemas.openxmlformats.org/spreadsheetml/2006/main">
  <c r="V74" i="31" l="1"/>
  <c r="Q39" i="32" l="1"/>
  <c r="P38" i="32"/>
  <c r="N38" i="32"/>
  <c r="M38" i="32"/>
  <c r="L38" i="32"/>
  <c r="K38" i="32"/>
  <c r="J38" i="32"/>
  <c r="I38" i="32"/>
  <c r="H38" i="32"/>
  <c r="G38" i="32"/>
  <c r="F38" i="32"/>
  <c r="E38" i="32"/>
  <c r="AE35" i="32"/>
  <c r="AE38" i="32" s="1"/>
  <c r="AD35" i="32"/>
  <c r="AD38" i="32" s="1"/>
  <c r="AC35" i="32"/>
  <c r="AC38" i="32" s="1"/>
  <c r="AB35" i="32"/>
  <c r="AB38" i="32" s="1"/>
  <c r="AA35" i="32"/>
  <c r="Z35" i="32"/>
  <c r="Y35" i="32"/>
  <c r="X35" i="32"/>
  <c r="W35" i="32"/>
  <c r="V35" i="32"/>
  <c r="P35" i="32"/>
  <c r="AA34" i="32"/>
  <c r="Z34" i="32"/>
  <c r="Y34" i="32"/>
  <c r="X34" i="32"/>
  <c r="W34" i="32"/>
  <c r="V34" i="32"/>
  <c r="P34" i="32"/>
  <c r="AA33" i="32"/>
  <c r="Z33" i="32"/>
  <c r="Y33" i="32"/>
  <c r="X33" i="32"/>
  <c r="W33" i="32"/>
  <c r="V33" i="32"/>
  <c r="P33" i="32"/>
  <c r="AA32" i="32"/>
  <c r="Z32" i="32"/>
  <c r="Y32" i="32"/>
  <c r="X32" i="32"/>
  <c r="W32" i="32"/>
  <c r="V32" i="32"/>
  <c r="P32" i="32"/>
  <c r="AA31" i="32"/>
  <c r="Z31" i="32"/>
  <c r="Y31" i="32"/>
  <c r="X31" i="32"/>
  <c r="W31" i="32"/>
  <c r="V31" i="32"/>
  <c r="P31" i="32"/>
  <c r="AA30" i="32"/>
  <c r="Z30" i="32"/>
  <c r="Y30" i="32"/>
  <c r="X30" i="32"/>
  <c r="W30" i="32"/>
  <c r="V30" i="32"/>
  <c r="P30" i="32"/>
  <c r="AA29" i="32"/>
  <c r="Z29" i="32"/>
  <c r="Y29" i="32"/>
  <c r="X29" i="32"/>
  <c r="W29" i="32"/>
  <c r="V29" i="32"/>
  <c r="P29" i="32"/>
  <c r="AA28" i="32"/>
  <c r="Z28" i="32"/>
  <c r="Y28" i="32"/>
  <c r="X28" i="32"/>
  <c r="W28" i="32"/>
  <c r="V28" i="32"/>
  <c r="P28" i="32"/>
  <c r="Z27" i="32"/>
  <c r="Y27" i="32"/>
  <c r="X27" i="32"/>
  <c r="W27" i="32"/>
  <c r="V27" i="32"/>
  <c r="P27" i="32"/>
  <c r="Z26" i="32"/>
  <c r="Y26" i="32"/>
  <c r="X26" i="32"/>
  <c r="W26" i="32"/>
  <c r="V26" i="32"/>
  <c r="P26" i="32"/>
  <c r="Z25" i="32"/>
  <c r="Y25" i="32"/>
  <c r="X25" i="32"/>
  <c r="W25" i="32"/>
  <c r="V25" i="32"/>
  <c r="P25" i="32"/>
  <c r="Z24" i="32"/>
  <c r="Y24" i="32"/>
  <c r="X24" i="32"/>
  <c r="W24" i="32"/>
  <c r="V24" i="32"/>
  <c r="P24" i="32"/>
  <c r="Z23" i="32"/>
  <c r="Y23" i="32"/>
  <c r="X23" i="32"/>
  <c r="W23" i="32"/>
  <c r="V23" i="32"/>
  <c r="P23" i="32"/>
  <c r="Z22" i="32"/>
  <c r="Y22" i="32"/>
  <c r="X22" i="32"/>
  <c r="W22" i="32"/>
  <c r="V22" i="32"/>
  <c r="P22" i="32"/>
  <c r="W21" i="32"/>
  <c r="V21" i="32"/>
  <c r="P21" i="32"/>
  <c r="W20" i="32"/>
  <c r="V20" i="32"/>
  <c r="AG20" i="32" s="1"/>
  <c r="P20" i="32"/>
  <c r="W19" i="32"/>
  <c r="V19" i="32"/>
  <c r="P19" i="32"/>
  <c r="W18" i="32"/>
  <c r="V18" i="32"/>
  <c r="AG18" i="32" s="1"/>
  <c r="P18" i="32"/>
  <c r="W17" i="32"/>
  <c r="V17" i="32"/>
  <c r="P17" i="32"/>
  <c r="W16" i="32"/>
  <c r="V16" i="32"/>
  <c r="P16" i="32"/>
  <c r="AE15" i="32"/>
  <c r="AD15" i="32"/>
  <c r="AC15" i="32"/>
  <c r="AB15" i="32"/>
  <c r="AA15" i="32"/>
  <c r="Z15" i="32"/>
  <c r="Y15" i="32"/>
  <c r="X15" i="32"/>
  <c r="W15" i="32"/>
  <c r="V15" i="32"/>
  <c r="M13" i="32"/>
  <c r="J13" i="32"/>
  <c r="G13" i="32"/>
  <c r="F12" i="32"/>
  <c r="G12" i="32" s="1"/>
  <c r="H12" i="32" s="1"/>
  <c r="I12" i="32" s="1"/>
  <c r="J12" i="32" s="1"/>
  <c r="K12" i="32" s="1"/>
  <c r="L12" i="32" s="1"/>
  <c r="M12" i="32" s="1"/>
  <c r="N12" i="32" s="1"/>
  <c r="D11" i="32"/>
  <c r="U85" i="31"/>
  <c r="X71" i="31"/>
  <c r="X72" i="31" s="1"/>
  <c r="G67" i="31"/>
  <c r="G68" i="31" s="1"/>
  <c r="AH55" i="31"/>
  <c r="AH59" i="31" s="1"/>
  <c r="Q55" i="31"/>
  <c r="AG54" i="31"/>
  <c r="AG58" i="31" s="1"/>
  <c r="AE54" i="31"/>
  <c r="AD54" i="31"/>
  <c r="AC54" i="31"/>
  <c r="AB54" i="31"/>
  <c r="AA54" i="31"/>
  <c r="Z54" i="31"/>
  <c r="Y54" i="31"/>
  <c r="X54" i="31"/>
  <c r="W54" i="31"/>
  <c r="V54" i="31"/>
  <c r="AH54" i="31" s="1"/>
  <c r="AH58" i="31" s="1"/>
  <c r="P54" i="31"/>
  <c r="N54" i="31"/>
  <c r="M54" i="31"/>
  <c r="L54" i="31"/>
  <c r="K54" i="31"/>
  <c r="J54" i="31"/>
  <c r="I54" i="31"/>
  <c r="H54" i="31"/>
  <c r="G54" i="31"/>
  <c r="F54" i="31"/>
  <c r="E54" i="31"/>
  <c r="O54" i="31" s="1"/>
  <c r="AJ51" i="31"/>
  <c r="AI51" i="31"/>
  <c r="AG51" i="31"/>
  <c r="S51" i="31"/>
  <c r="P51" i="31"/>
  <c r="R51" i="31" s="1"/>
  <c r="AJ50" i="31"/>
  <c r="AG50" i="31"/>
  <c r="AI50" i="31" s="1"/>
  <c r="S50" i="31"/>
  <c r="P50" i="31"/>
  <c r="R50" i="31" s="1"/>
  <c r="AJ49" i="31"/>
  <c r="AG49" i="31"/>
  <c r="AI49" i="31" s="1"/>
  <c r="S49" i="31"/>
  <c r="R49" i="31"/>
  <c r="P49" i="31"/>
  <c r="AJ48" i="31"/>
  <c r="AG48" i="31"/>
  <c r="S48" i="31"/>
  <c r="R48" i="31"/>
  <c r="P48" i="31"/>
  <c r="AJ47" i="31"/>
  <c r="AI47" i="31"/>
  <c r="AG47" i="31"/>
  <c r="S47" i="31"/>
  <c r="P47" i="31"/>
  <c r="R47" i="31" s="1"/>
  <c r="AJ46" i="31"/>
  <c r="AG46" i="31"/>
  <c r="AI46" i="31" s="1"/>
  <c r="S46" i="31"/>
  <c r="P46" i="31"/>
  <c r="R46" i="31" s="1"/>
  <c r="AJ45" i="31"/>
  <c r="AG45" i="31"/>
  <c r="AI45" i="31" s="1"/>
  <c r="S45" i="31"/>
  <c r="R45" i="31"/>
  <c r="P45" i="31"/>
  <c r="AJ44" i="31"/>
  <c r="AG44" i="31"/>
  <c r="S44" i="31"/>
  <c r="R44" i="31"/>
  <c r="P44" i="31"/>
  <c r="AJ43" i="31"/>
  <c r="AI43" i="31"/>
  <c r="AG43" i="31"/>
  <c r="S43" i="31"/>
  <c r="P43" i="31"/>
  <c r="R43" i="31" s="1"/>
  <c r="AJ42" i="31"/>
  <c r="AG42" i="31"/>
  <c r="AI42" i="31" s="1"/>
  <c r="S42" i="31"/>
  <c r="P42" i="31"/>
  <c r="R42" i="31" s="1"/>
  <c r="AJ41" i="31"/>
  <c r="AG41" i="31"/>
  <c r="AI41" i="31" s="1"/>
  <c r="S41" i="31"/>
  <c r="R41" i="31"/>
  <c r="P41" i="31"/>
  <c r="AJ40" i="31"/>
  <c r="AG40" i="31"/>
  <c r="S40" i="31"/>
  <c r="R40" i="31"/>
  <c r="P40" i="31"/>
  <c r="AJ39" i="31"/>
  <c r="AI39" i="31"/>
  <c r="AG39" i="31"/>
  <c r="S39" i="31"/>
  <c r="P39" i="31"/>
  <c r="R39" i="31" s="1"/>
  <c r="AJ38" i="31"/>
  <c r="AG38" i="31"/>
  <c r="AI38" i="31" s="1"/>
  <c r="S38" i="31"/>
  <c r="P38" i="31"/>
  <c r="R38" i="31" s="1"/>
  <c r="AJ37" i="31"/>
  <c r="AG37" i="31"/>
  <c r="AI37" i="31" s="1"/>
  <c r="S37" i="31"/>
  <c r="R37" i="31"/>
  <c r="P37" i="31"/>
  <c r="AJ36" i="31"/>
  <c r="AG36" i="31"/>
  <c r="S36" i="31"/>
  <c r="R36" i="31"/>
  <c r="P36" i="31"/>
  <c r="AJ35" i="31"/>
  <c r="AI35" i="31"/>
  <c r="AG35" i="31"/>
  <c r="S35" i="31"/>
  <c r="P35" i="31"/>
  <c r="R35" i="31" s="1"/>
  <c r="AJ34" i="31"/>
  <c r="AG34" i="31"/>
  <c r="AI34" i="31" s="1"/>
  <c r="S34" i="31"/>
  <c r="P34" i="31"/>
  <c r="R34" i="31" s="1"/>
  <c r="AJ33" i="31"/>
  <c r="AG33" i="31"/>
  <c r="AI33" i="31" s="1"/>
  <c r="S33" i="31"/>
  <c r="R33" i="31"/>
  <c r="P33" i="31"/>
  <c r="AJ32" i="31"/>
  <c r="AG32" i="31"/>
  <c r="AG53" i="31" s="1"/>
  <c r="AG57" i="31" s="1"/>
  <c r="S32" i="31"/>
  <c r="R32" i="31"/>
  <c r="P32" i="31"/>
  <c r="P55" i="31" s="1"/>
  <c r="F28" i="31"/>
  <c r="G28" i="31" s="1"/>
  <c r="H28" i="31" s="1"/>
  <c r="I28" i="31" s="1"/>
  <c r="J28" i="31" s="1"/>
  <c r="K28" i="31" s="1"/>
  <c r="L28" i="31" s="1"/>
  <c r="M28" i="31" s="1"/>
  <c r="N28" i="31" s="1"/>
  <c r="D27" i="31"/>
  <c r="AG28" i="32" l="1"/>
  <c r="AG17" i="32"/>
  <c r="AG26" i="32"/>
  <c r="AG21" i="32"/>
  <c r="AG19" i="32"/>
  <c r="AG22" i="32"/>
  <c r="Z38" i="32"/>
  <c r="P39" i="32"/>
  <c r="AG33" i="32"/>
  <c r="W38" i="32"/>
  <c r="AG29" i="32"/>
  <c r="AA38" i="32"/>
  <c r="X38" i="32"/>
  <c r="AG32" i="32"/>
  <c r="O38" i="32"/>
  <c r="P37" i="32"/>
  <c r="AG25" i="32"/>
  <c r="Y38" i="32"/>
  <c r="AG23" i="32"/>
  <c r="AG27" i="32"/>
  <c r="AG30" i="32"/>
  <c r="AG34" i="32"/>
  <c r="AG38" i="32"/>
  <c r="AG42" i="32" s="1"/>
  <c r="AG16" i="32"/>
  <c r="AH39" i="32"/>
  <c r="V38" i="32"/>
  <c r="AG24" i="32"/>
  <c r="AG31" i="32"/>
  <c r="AG35" i="32"/>
  <c r="Q38" i="32"/>
  <c r="X73" i="31"/>
  <c r="R53" i="31"/>
  <c r="E69" i="31" s="1"/>
  <c r="G69" i="31"/>
  <c r="H69" i="31" s="1"/>
  <c r="Q54" i="31"/>
  <c r="AI32" i="31"/>
  <c r="AI36" i="31"/>
  <c r="AI40" i="31"/>
  <c r="AI44" i="31"/>
  <c r="AI48" i="31"/>
  <c r="AF54" i="31"/>
  <c r="AF58" i="31" s="1"/>
  <c r="AG55" i="31"/>
  <c r="E67" i="31"/>
  <c r="V71" i="31"/>
  <c r="P53" i="31"/>
  <c r="AG39" i="32" l="1"/>
  <c r="AG37" i="32"/>
  <c r="AG41" i="32" s="1"/>
  <c r="AH38" i="32"/>
  <c r="AF38" i="32"/>
  <c r="AF42" i="32" s="1"/>
  <c r="AH43" i="32"/>
  <c r="V72" i="31"/>
  <c r="AJ53" i="31"/>
  <c r="E68" i="31"/>
  <c r="S53" i="31"/>
  <c r="Y73" i="31"/>
  <c r="AI53" i="31"/>
  <c r="V73" i="31" s="1"/>
  <c r="AG59" i="31"/>
  <c r="AH42" i="32" l="1"/>
  <c r="AG43" i="32"/>
  <c r="Y74" i="31"/>
  <c r="Y72" i="31"/>
  <c r="H68" i="31"/>
  <c r="H70" i="31" l="1"/>
  <c r="E74" i="31"/>
  <c r="V84" i="31"/>
  <c r="W84" i="31" s="1"/>
  <c r="Y75" i="31"/>
  <c r="Y76" i="31" s="1"/>
  <c r="V75" i="31"/>
  <c r="V76" i="31" s="1"/>
  <c r="X84" i="31"/>
  <c r="V78" i="31"/>
  <c r="W85" i="31" l="1"/>
  <c r="W66" i="31" s="1"/>
  <c r="W67" i="31" s="1"/>
  <c r="W59" i="31"/>
  <c r="W62" i="31" s="1"/>
  <c r="G64" i="31"/>
  <c r="E64" i="31"/>
  <c r="G74" i="31"/>
  <c r="G60" i="31" s="1"/>
  <c r="E60" i="31"/>
  <c r="F74" i="31"/>
  <c r="W78" i="31"/>
  <c r="V68" i="31"/>
  <c r="V63" i="31"/>
  <c r="X78" i="31"/>
  <c r="X63" i="31" s="1"/>
  <c r="X80" i="31"/>
  <c r="X83" i="31" s="1"/>
  <c r="X58" i="31" s="1"/>
  <c r="W80" i="31"/>
  <c r="W83" i="31" s="1"/>
  <c r="W58" i="31" s="1"/>
  <c r="W61" i="31" s="1"/>
  <c r="V79" i="31"/>
  <c r="V80" i="31"/>
  <c r="V83" i="31" s="1"/>
  <c r="V58" i="31" s="1"/>
  <c r="V61" i="31" s="1"/>
  <c r="E59" i="31"/>
  <c r="H71" i="31"/>
  <c r="H72" i="31" s="1"/>
  <c r="E70" i="31"/>
  <c r="E71" i="31"/>
  <c r="E72" i="31" s="1"/>
  <c r="X85" i="31"/>
  <c r="X66" i="31" s="1"/>
  <c r="X59" i="31"/>
  <c r="V59" i="31"/>
  <c r="V62" i="31" s="1"/>
  <c r="V85" i="31"/>
  <c r="V66" i="31" s="1"/>
  <c r="V67" i="31" s="1"/>
  <c r="G76" i="31" l="1"/>
  <c r="G58" i="31" s="1"/>
  <c r="F76" i="31"/>
  <c r="F58" i="31" s="1"/>
  <c r="E76" i="31"/>
  <c r="E58" i="31" s="1"/>
  <c r="E75" i="31"/>
  <c r="V82" i="31"/>
  <c r="V57" i="31" s="1"/>
  <c r="V60" i="31" s="1"/>
  <c r="X79" i="31"/>
  <c r="X82" i="31" s="1"/>
  <c r="X57" i="31" s="1"/>
  <c r="W79" i="31"/>
  <c r="W82" i="31" s="1"/>
  <c r="W57" i="31" s="1"/>
  <c r="W60" i="31" s="1"/>
  <c r="X68" i="31"/>
  <c r="W68" i="31"/>
  <c r="W63" i="31"/>
  <c r="Y63" i="31" s="1"/>
  <c r="Y68" i="31"/>
  <c r="F64" i="31"/>
  <c r="F60" i="31"/>
  <c r="H60" i="31" s="1"/>
  <c r="H64" i="31"/>
  <c r="X62" i="31"/>
  <c r="Z62" i="31" s="1"/>
  <c r="Z59" i="31"/>
  <c r="X67" i="31"/>
  <c r="Z67" i="31" s="1"/>
  <c r="Z66" i="31"/>
  <c r="E63" i="31"/>
  <c r="G59" i="31"/>
  <c r="F59" i="31"/>
  <c r="F63" i="31" s="1"/>
  <c r="X61" i="31"/>
  <c r="Y61" i="31" s="1"/>
  <c r="Z58" i="31"/>
  <c r="X60" i="31" l="1"/>
  <c r="Z60" i="31" s="1"/>
  <c r="Z57" i="31"/>
  <c r="E57" i="31"/>
  <c r="F75" i="31"/>
  <c r="F57" i="31" s="1"/>
  <c r="G75" i="31"/>
  <c r="G57" i="31" s="1"/>
  <c r="I57" i="31" s="1"/>
  <c r="G63" i="31"/>
  <c r="I63" i="31" s="1"/>
  <c r="I59" i="31"/>
  <c r="H58" i="31"/>
  <c r="F23" i="10" l="1"/>
  <c r="G23" i="10" s="1"/>
  <c r="H23" i="10" s="1"/>
  <c r="I23" i="10" s="1"/>
  <c r="J23" i="10" s="1"/>
  <c r="K23" i="10" s="1"/>
  <c r="L23" i="10" s="1"/>
  <c r="M23" i="10" s="1"/>
  <c r="N23" i="10" s="1"/>
  <c r="G24" i="10"/>
  <c r="J24" i="10"/>
  <c r="M24" i="10"/>
  <c r="U85" i="30" l="1"/>
  <c r="U88" i="10"/>
  <c r="F28" i="30" l="1"/>
  <c r="G28" i="30" s="1"/>
  <c r="H28" i="30" s="1"/>
  <c r="I28" i="30" s="1"/>
  <c r="J28" i="30" s="1"/>
  <c r="K28" i="30" s="1"/>
  <c r="L28" i="30" s="1"/>
  <c r="M28" i="30" s="1"/>
  <c r="N28" i="30" s="1"/>
  <c r="D27" i="30"/>
  <c r="AA51" i="30" l="1"/>
  <c r="W51" i="30"/>
  <c r="AD51" i="30"/>
  <c r="Z51" i="30"/>
  <c r="X51" i="30"/>
  <c r="V36" i="30" l="1"/>
  <c r="AD36" i="30"/>
  <c r="Z36" i="30"/>
  <c r="AB36" i="30"/>
  <c r="AC36" i="30"/>
  <c r="Y36" i="30"/>
  <c r="AE36" i="30"/>
  <c r="AA36" i="30"/>
  <c r="W36" i="30"/>
  <c r="X36" i="30"/>
  <c r="V33" i="30"/>
  <c r="Y33" i="30"/>
  <c r="AB33" i="30"/>
  <c r="X33" i="30"/>
  <c r="AE33" i="30"/>
  <c r="AD33" i="30"/>
  <c r="W33" i="30"/>
  <c r="V46" i="30"/>
  <c r="AB46" i="30"/>
  <c r="X46" i="30"/>
  <c r="AE46" i="30"/>
  <c r="AA46" i="30"/>
  <c r="W46" i="30"/>
  <c r="AD46" i="30"/>
  <c r="AC46" i="30"/>
  <c r="Y46" i="30"/>
  <c r="Z46" i="30"/>
  <c r="V40" i="30"/>
  <c r="AD40" i="30"/>
  <c r="X40" i="30"/>
  <c r="AC40" i="30"/>
  <c r="Y40" i="30"/>
  <c r="AA40" i="30"/>
  <c r="W40" i="30"/>
  <c r="AB40" i="30"/>
  <c r="W43" i="30"/>
  <c r="Y43" i="30"/>
  <c r="AD43" i="30"/>
  <c r="V49" i="30"/>
  <c r="AC49" i="30"/>
  <c r="Y49" i="30"/>
  <c r="AB49" i="30"/>
  <c r="X49" i="30"/>
  <c r="AE49" i="30"/>
  <c r="W49" i="30"/>
  <c r="AD49" i="30"/>
  <c r="Z49" i="30"/>
  <c r="AA49" i="30"/>
  <c r="V41" i="30"/>
  <c r="AC41" i="30"/>
  <c r="Y41" i="30"/>
  <c r="AA41" i="30"/>
  <c r="AB41" i="30"/>
  <c r="X41" i="30"/>
  <c r="W41" i="30"/>
  <c r="AD41" i="30"/>
  <c r="Z41" i="30"/>
  <c r="AE41" i="30"/>
  <c r="AE47" i="30"/>
  <c r="AA47" i="30"/>
  <c r="W47" i="30"/>
  <c r="AC47" i="30"/>
  <c r="AD47" i="30"/>
  <c r="Z47" i="30"/>
  <c r="Y47" i="30"/>
  <c r="AC37" i="30"/>
  <c r="Y37" i="30"/>
  <c r="AB37" i="30"/>
  <c r="X37" i="30"/>
  <c r="W37" i="30"/>
  <c r="AA37" i="30"/>
  <c r="V44" i="30"/>
  <c r="AE44" i="30"/>
  <c r="AA44" i="30"/>
  <c r="V51" i="30"/>
  <c r="AE51" i="30"/>
  <c r="AE40" i="30"/>
  <c r="Z40" i="30"/>
  <c r="AC51" i="30"/>
  <c r="AB51" i="30"/>
  <c r="Y51" i="30"/>
  <c r="S51" i="30"/>
  <c r="P51" i="30"/>
  <c r="AE37" i="30" l="1"/>
  <c r="AE48" i="30"/>
  <c r="V47" i="30"/>
  <c r="V37" i="30"/>
  <c r="AE43" i="30"/>
  <c r="AJ51" i="30"/>
  <c r="V50" i="30"/>
  <c r="AC43" i="30"/>
  <c r="V42" i="30"/>
  <c r="Z37" i="30"/>
  <c r="V45" i="30"/>
  <c r="AD48" i="30"/>
  <c r="AB48" i="30"/>
  <c r="AA43" i="30"/>
  <c r="W44" i="30"/>
  <c r="V48" i="30"/>
  <c r="X44" i="30"/>
  <c r="AA48" i="30"/>
  <c r="V43" i="30"/>
  <c r="Z44" i="30"/>
  <c r="Y44" i="30"/>
  <c r="AC48" i="30"/>
  <c r="V34" i="30"/>
  <c r="V39" i="30"/>
  <c r="X47" i="30"/>
  <c r="AB43" i="30"/>
  <c r="Z43" i="30"/>
  <c r="Z33" i="30"/>
  <c r="AA33" i="30"/>
  <c r="AB44" i="30"/>
  <c r="AC44" i="30"/>
  <c r="AD37" i="30"/>
  <c r="X48" i="30"/>
  <c r="W48" i="30"/>
  <c r="Z48" i="30"/>
  <c r="V35" i="30"/>
  <c r="AD44" i="30"/>
  <c r="Y48" i="30"/>
  <c r="AB47" i="30"/>
  <c r="X43" i="30"/>
  <c r="V38" i="30"/>
  <c r="AC33" i="30"/>
  <c r="V32" i="30"/>
  <c r="S41" i="30"/>
  <c r="S37" i="30"/>
  <c r="S43" i="30"/>
  <c r="S40" i="30"/>
  <c r="S33" i="30"/>
  <c r="S47" i="30"/>
  <c r="S46" i="30"/>
  <c r="S44" i="30"/>
  <c r="S36" i="30"/>
  <c r="S49" i="30"/>
  <c r="S48" i="30"/>
  <c r="AJ49" i="30"/>
  <c r="AJ46" i="30"/>
  <c r="AJ36" i="30"/>
  <c r="AJ41" i="30"/>
  <c r="AJ40" i="30"/>
  <c r="P48" i="30"/>
  <c r="P40" i="30"/>
  <c r="P47" i="30"/>
  <c r="F54" i="30"/>
  <c r="P36" i="30"/>
  <c r="P49" i="30"/>
  <c r="P33" i="30"/>
  <c r="P43" i="30"/>
  <c r="P44" i="30"/>
  <c r="P37" i="30"/>
  <c r="P41" i="30"/>
  <c r="P46" i="30"/>
  <c r="AG51" i="30"/>
  <c r="E54" i="30"/>
  <c r="AJ47" i="30" l="1"/>
  <c r="AJ48" i="30"/>
  <c r="AJ37" i="30"/>
  <c r="AJ44" i="30"/>
  <c r="AJ43" i="30"/>
  <c r="W35" i="30"/>
  <c r="W45" i="30"/>
  <c r="W50" i="30"/>
  <c r="W39" i="30"/>
  <c r="W38" i="30"/>
  <c r="W34" i="30"/>
  <c r="W42" i="30"/>
  <c r="W32" i="30"/>
  <c r="AG48" i="30"/>
  <c r="AG49" i="30"/>
  <c r="AG40" i="30"/>
  <c r="AJ33" i="30"/>
  <c r="AG36" i="30"/>
  <c r="V54" i="30"/>
  <c r="AG44" i="30"/>
  <c r="AG33" i="30"/>
  <c r="AG41" i="30"/>
  <c r="AG47" i="30"/>
  <c r="AG46" i="30"/>
  <c r="AG37" i="30"/>
  <c r="AG43" i="30"/>
  <c r="W54" i="30" l="1"/>
  <c r="X34" i="30"/>
  <c r="X38" i="30"/>
  <c r="X50" i="30"/>
  <c r="X35" i="30"/>
  <c r="X39" i="30"/>
  <c r="X45" i="30"/>
  <c r="X42" i="30"/>
  <c r="X32" i="30"/>
  <c r="G54" i="30"/>
  <c r="Y42" i="30" l="1"/>
  <c r="Y50" i="30"/>
  <c r="Y39" i="30"/>
  <c r="Y34" i="30"/>
  <c r="Y35" i="30"/>
  <c r="Y38" i="30"/>
  <c r="Y45" i="30"/>
  <c r="X54" i="30"/>
  <c r="Y32" i="30"/>
  <c r="H54" i="30"/>
  <c r="Z45" i="30" l="1"/>
  <c r="Z42" i="30"/>
  <c r="Z38" i="30"/>
  <c r="Z34" i="30"/>
  <c r="Z35" i="30"/>
  <c r="Y54" i="30"/>
  <c r="Z50" i="30"/>
  <c r="Z39" i="30"/>
  <c r="Z32" i="30"/>
  <c r="I54" i="30"/>
  <c r="AA50" i="30" l="1"/>
  <c r="AA34" i="30"/>
  <c r="AA38" i="30"/>
  <c r="AA45" i="30"/>
  <c r="AA39" i="30"/>
  <c r="AA35" i="30"/>
  <c r="AA42" i="30"/>
  <c r="AA32" i="30"/>
  <c r="J54" i="30"/>
  <c r="Z54" i="30"/>
  <c r="AA54" i="30" l="1"/>
  <c r="AB39" i="30"/>
  <c r="AB35" i="30"/>
  <c r="AB34" i="30"/>
  <c r="AB50" i="30"/>
  <c r="AB45" i="30"/>
  <c r="AB42" i="30"/>
  <c r="AB38" i="30"/>
  <c r="AB32" i="30"/>
  <c r="K54" i="30"/>
  <c r="AC42" i="30" l="1"/>
  <c r="AC38" i="30"/>
  <c r="AC50" i="30"/>
  <c r="AC34" i="30"/>
  <c r="AC35" i="30"/>
  <c r="AC39" i="30"/>
  <c r="AC45" i="30"/>
  <c r="AB54" i="30"/>
  <c r="AC32" i="30"/>
  <c r="L54" i="30"/>
  <c r="AC54" i="30" l="1"/>
  <c r="AD38" i="30"/>
  <c r="AD39" i="30"/>
  <c r="P39" i="30"/>
  <c r="AD42" i="30"/>
  <c r="AD45" i="30"/>
  <c r="AD34" i="30"/>
  <c r="S34" i="30"/>
  <c r="AD50" i="30"/>
  <c r="AD35" i="30"/>
  <c r="P35" i="30"/>
  <c r="G67" i="30"/>
  <c r="G68" i="30" s="1"/>
  <c r="AD32" i="30"/>
  <c r="M54" i="30"/>
  <c r="AE45" i="30" l="1"/>
  <c r="S45" i="30"/>
  <c r="P45" i="30"/>
  <c r="AE35" i="30"/>
  <c r="S35" i="30"/>
  <c r="AE39" i="30"/>
  <c r="S39" i="30"/>
  <c r="AE34" i="30"/>
  <c r="P34" i="30"/>
  <c r="AE42" i="30"/>
  <c r="S42" i="30"/>
  <c r="P42" i="30"/>
  <c r="AE50" i="30"/>
  <c r="P50" i="30"/>
  <c r="S50" i="30"/>
  <c r="AE38" i="30"/>
  <c r="P38" i="30"/>
  <c r="S38" i="30"/>
  <c r="AD54" i="30"/>
  <c r="AE32" i="30"/>
  <c r="N54" i="30"/>
  <c r="S32" i="30"/>
  <c r="P32" i="30"/>
  <c r="P54" i="30"/>
  <c r="Q55" i="30"/>
  <c r="G69" i="30" s="1"/>
  <c r="R32" i="30" l="1"/>
  <c r="AG42" i="30"/>
  <c r="AJ42" i="30"/>
  <c r="AJ39" i="30"/>
  <c r="AG39" i="30"/>
  <c r="X71" i="30"/>
  <c r="X72" i="30" s="1"/>
  <c r="AJ38" i="30"/>
  <c r="AG38" i="30"/>
  <c r="AJ34" i="30"/>
  <c r="AG34" i="30"/>
  <c r="AG35" i="30"/>
  <c r="AJ35" i="30"/>
  <c r="AH55" i="30"/>
  <c r="AG50" i="30"/>
  <c r="AJ50" i="30"/>
  <c r="AJ45" i="30"/>
  <c r="AG45" i="30"/>
  <c r="AG54" i="30"/>
  <c r="AI46" i="30" s="1"/>
  <c r="Q54" i="30"/>
  <c r="O54" i="30"/>
  <c r="E67" i="30"/>
  <c r="P55" i="30"/>
  <c r="P53" i="30"/>
  <c r="R51" i="30"/>
  <c r="R45" i="30"/>
  <c r="R47" i="30"/>
  <c r="R37" i="30"/>
  <c r="R35" i="30"/>
  <c r="R38" i="30"/>
  <c r="R48" i="30"/>
  <c r="R41" i="30"/>
  <c r="R50" i="30"/>
  <c r="R39" i="30"/>
  <c r="R36" i="30"/>
  <c r="R49" i="30"/>
  <c r="R34" i="30"/>
  <c r="R44" i="30"/>
  <c r="R46" i="30"/>
  <c r="R42" i="30"/>
  <c r="R43" i="30"/>
  <c r="R33" i="30"/>
  <c r="R40" i="30"/>
  <c r="AE54" i="30"/>
  <c r="AF54" i="30" s="1"/>
  <c r="AF58" i="30" s="1"/>
  <c r="AG32" i="30"/>
  <c r="AJ32" i="30"/>
  <c r="W26" i="10"/>
  <c r="X26" i="10"/>
  <c r="Y26" i="10"/>
  <c r="Z26" i="10"/>
  <c r="AA26" i="10"/>
  <c r="AB26" i="10"/>
  <c r="AC26" i="10"/>
  <c r="AD26" i="10"/>
  <c r="AE26" i="10"/>
  <c r="V26" i="10"/>
  <c r="X73" i="30" l="1"/>
  <c r="AI32" i="30"/>
  <c r="AI33" i="30"/>
  <c r="AI40" i="30"/>
  <c r="AI49" i="30"/>
  <c r="AH54" i="30"/>
  <c r="AH58" i="30" s="1"/>
  <c r="AI47" i="30"/>
  <c r="AH59" i="30"/>
  <c r="R53" i="30"/>
  <c r="E69" i="30" s="1"/>
  <c r="H69" i="30" s="1"/>
  <c r="AI50" i="30"/>
  <c r="AI39" i="30"/>
  <c r="AI34" i="30"/>
  <c r="AI35" i="30"/>
  <c r="AI48" i="30"/>
  <c r="AI36" i="30"/>
  <c r="AI44" i="30"/>
  <c r="AI38" i="30"/>
  <c r="AI45" i="30"/>
  <c r="AI41" i="30"/>
  <c r="AI43" i="30"/>
  <c r="AG58" i="30"/>
  <c r="AI42" i="30"/>
  <c r="AI37" i="30"/>
  <c r="AI51" i="30"/>
  <c r="AG53" i="30"/>
  <c r="AG57" i="30" s="1"/>
  <c r="V71" i="30"/>
  <c r="AG55" i="30"/>
  <c r="E68" i="30"/>
  <c r="S53" i="30"/>
  <c r="AI53" i="30" l="1"/>
  <c r="V73" i="30" s="1"/>
  <c r="Y73" i="30" s="1"/>
  <c r="AG59" i="30"/>
  <c r="H68" i="30"/>
  <c r="AJ53" i="30"/>
  <c r="V72" i="30"/>
  <c r="D22" i="10"/>
  <c r="Y72" i="30" l="1"/>
  <c r="V78" i="30" s="1"/>
  <c r="E74" i="30"/>
  <c r="H70" i="30"/>
  <c r="W31" i="10" l="1"/>
  <c r="V31" i="10"/>
  <c r="AB31" i="10"/>
  <c r="Y31" i="10"/>
  <c r="X31" i="10"/>
  <c r="H71" i="30"/>
  <c r="H72" i="30" s="1"/>
  <c r="E59" i="30"/>
  <c r="E70" i="30"/>
  <c r="E71" i="30"/>
  <c r="E72" i="30" s="1"/>
  <c r="Y74" i="30"/>
  <c r="X78" i="30"/>
  <c r="X63" i="30" s="1"/>
  <c r="W78" i="30"/>
  <c r="V63" i="30"/>
  <c r="V68" i="30"/>
  <c r="G74" i="30"/>
  <c r="G60" i="30" s="1"/>
  <c r="E64" i="30"/>
  <c r="F74" i="30"/>
  <c r="E60" i="30"/>
  <c r="AA31" i="10"/>
  <c r="AC31" i="10"/>
  <c r="AD31" i="10"/>
  <c r="AE31" i="10"/>
  <c r="Z31" i="10"/>
  <c r="V44" i="10" l="1"/>
  <c r="V28" i="10"/>
  <c r="V39" i="10"/>
  <c r="V27" i="10"/>
  <c r="V29" i="10"/>
  <c r="V35" i="10"/>
  <c r="V38" i="10"/>
  <c r="V42" i="10"/>
  <c r="V43" i="10"/>
  <c r="V32" i="10"/>
  <c r="V30" i="10"/>
  <c r="Y30" i="10"/>
  <c r="V40" i="10"/>
  <c r="V36" i="10"/>
  <c r="V45" i="10"/>
  <c r="V37" i="10"/>
  <c r="V41" i="10"/>
  <c r="V33" i="10"/>
  <c r="W45" i="10"/>
  <c r="G64" i="30"/>
  <c r="F64" i="30"/>
  <c r="F60" i="30"/>
  <c r="H60" i="30" s="1"/>
  <c r="V74" i="30"/>
  <c r="Y75" i="30"/>
  <c r="Y76" i="30" s="1"/>
  <c r="V84" i="30"/>
  <c r="V75" i="30"/>
  <c r="V76" i="30" s="1"/>
  <c r="E76" i="30"/>
  <c r="E58" i="30" s="1"/>
  <c r="E75" i="30"/>
  <c r="G76" i="30"/>
  <c r="G58" i="30" s="1"/>
  <c r="F76" i="30"/>
  <c r="F58" i="30" s="1"/>
  <c r="X68" i="30"/>
  <c r="E63" i="30"/>
  <c r="F59" i="30"/>
  <c r="F63" i="30" s="1"/>
  <c r="G59" i="30"/>
  <c r="W68" i="30"/>
  <c r="W63" i="30"/>
  <c r="Y63" i="30" s="1"/>
  <c r="K49" i="10"/>
  <c r="G49" i="10"/>
  <c r="L49" i="10"/>
  <c r="N49" i="10"/>
  <c r="I49" i="10"/>
  <c r="M49" i="10"/>
  <c r="X27" i="10"/>
  <c r="H49" i="10"/>
  <c r="J49" i="10"/>
  <c r="AC29" i="10"/>
  <c r="W27" i="10"/>
  <c r="AD27" i="10"/>
  <c r="AD29" i="10"/>
  <c r="AE45" i="10"/>
  <c r="Z45" i="10"/>
  <c r="W32" i="10"/>
  <c r="AE32" i="10"/>
  <c r="AB32" i="10"/>
  <c r="AB29" i="10"/>
  <c r="X43" i="10"/>
  <c r="AA40" i="10"/>
  <c r="Z40" i="10"/>
  <c r="AC40" i="10"/>
  <c r="AE35" i="10"/>
  <c r="AA42" i="10"/>
  <c r="AA28" i="10"/>
  <c r="W41" i="10"/>
  <c r="AB37" i="10"/>
  <c r="Y38" i="10"/>
  <c r="X28" i="10"/>
  <c r="W37" i="10"/>
  <c r="X42" i="10"/>
  <c r="Z28" i="10"/>
  <c r="Z37" i="10"/>
  <c r="AE38" i="10"/>
  <c r="AD41" i="10"/>
  <c r="AA36" i="10"/>
  <c r="Y36" i="10"/>
  <c r="X39" i="10"/>
  <c r="AB44" i="10"/>
  <c r="AA44" i="10"/>
  <c r="AD46" i="10"/>
  <c r="X46" i="10"/>
  <c r="X34" i="10"/>
  <c r="AE33" i="10"/>
  <c r="X33" i="10"/>
  <c r="AA34" i="10"/>
  <c r="AB34" i="10"/>
  <c r="AB36" i="10"/>
  <c r="AB46" i="10"/>
  <c r="AC32" i="10"/>
  <c r="Z29" i="10"/>
  <c r="AC28" i="10"/>
  <c r="Y45" i="10"/>
  <c r="AB27" i="10"/>
  <c r="AA27" i="10"/>
  <c r="X29" i="10"/>
  <c r="X45" i="10"/>
  <c r="AD45" i="10"/>
  <c r="Y27" i="10"/>
  <c r="Y29" i="10"/>
  <c r="AB43" i="10"/>
  <c r="AE40" i="10"/>
  <c r="AD35" i="10"/>
  <c r="AD40" i="10"/>
  <c r="AB35" i="10"/>
  <c r="AE41" i="10"/>
  <c r="AE28" i="10"/>
  <c r="Y41" i="10"/>
  <c r="Z38" i="10"/>
  <c r="X30" i="10"/>
  <c r="W38" i="10"/>
  <c r="W28" i="10"/>
  <c r="Z42" i="10"/>
  <c r="AA30" i="10"/>
  <c r="AA38" i="10"/>
  <c r="Y37" i="10"/>
  <c r="AB41" i="10"/>
  <c r="Z39" i="10"/>
  <c r="AE36" i="10"/>
  <c r="AA41" i="10"/>
  <c r="X41" i="10"/>
  <c r="AC44" i="10"/>
  <c r="Y44" i="10"/>
  <c r="AA46" i="10"/>
  <c r="Y46" i="10"/>
  <c r="AC33" i="10"/>
  <c r="Y34" i="10"/>
  <c r="AA33" i="10"/>
  <c r="AD39" i="10"/>
  <c r="AC34" i="10"/>
  <c r="W43" i="10"/>
  <c r="AD32" i="10"/>
  <c r="AC27" i="10"/>
  <c r="AE27" i="10"/>
  <c r="AA43" i="10"/>
  <c r="AA45" i="10"/>
  <c r="X32" i="10"/>
  <c r="AC45" i="10"/>
  <c r="AD43" i="10"/>
  <c r="Z43" i="10"/>
  <c r="AA29" i="10"/>
  <c r="AC35" i="10"/>
  <c r="AA35" i="10"/>
  <c r="X40" i="10"/>
  <c r="Y35" i="10"/>
  <c r="AD28" i="10"/>
  <c r="AC41" i="10"/>
  <c r="AC42" i="10"/>
  <c r="X37" i="10"/>
  <c r="AE37" i="10"/>
  <c r="W42" i="10"/>
  <c r="AC30" i="10"/>
  <c r="AC37" i="10"/>
  <c r="Y42" i="10"/>
  <c r="AB38" i="10"/>
  <c r="W39" i="10"/>
  <c r="Y39" i="10"/>
  <c r="AC36" i="10"/>
  <c r="Z36" i="10"/>
  <c r="AE39" i="10"/>
  <c r="W44" i="10"/>
  <c r="AE44" i="10"/>
  <c r="AC46" i="10"/>
  <c r="Z34" i="10"/>
  <c r="W46" i="10"/>
  <c r="AD34" i="10"/>
  <c r="Y33" i="10"/>
  <c r="AB33" i="10"/>
  <c r="W35" i="10"/>
  <c r="Z41" i="10"/>
  <c r="AD37" i="10"/>
  <c r="X44" i="10"/>
  <c r="AE29" i="10"/>
  <c r="AC43" i="10"/>
  <c r="Z27" i="10"/>
  <c r="AB45" i="10"/>
  <c r="Y43" i="10"/>
  <c r="Y32" i="10"/>
  <c r="AA32" i="10"/>
  <c r="Z32" i="10"/>
  <c r="W29" i="10"/>
  <c r="AE43" i="10"/>
  <c r="Y40" i="10"/>
  <c r="X35" i="10"/>
  <c r="Z35" i="10"/>
  <c r="W40" i="10"/>
  <c r="AD42" i="10"/>
  <c r="AB28" i="10"/>
  <c r="AE42" i="10"/>
  <c r="W30" i="10"/>
  <c r="AA37" i="10"/>
  <c r="Z30" i="10"/>
  <c r="AE30" i="10"/>
  <c r="AD38" i="10"/>
  <c r="Y28" i="10"/>
  <c r="AD30" i="10"/>
  <c r="AC38" i="10"/>
  <c r="AB30" i="10"/>
  <c r="AB39" i="10"/>
  <c r="AC39" i="10"/>
  <c r="AA39" i="10"/>
  <c r="AD36" i="10"/>
  <c r="W36" i="10"/>
  <c r="X36" i="10"/>
  <c r="Z44" i="10"/>
  <c r="AD44" i="10"/>
  <c r="AE46" i="10"/>
  <c r="AE34" i="10"/>
  <c r="Z46" i="10"/>
  <c r="AD33" i="10"/>
  <c r="W34" i="10"/>
  <c r="W33" i="10"/>
  <c r="Z33" i="10"/>
  <c r="AB40" i="10"/>
  <c r="X38" i="10"/>
  <c r="AB42" i="10"/>
  <c r="V46" i="10"/>
  <c r="V34" i="10"/>
  <c r="P49" i="10"/>
  <c r="F49" i="10"/>
  <c r="E49" i="10"/>
  <c r="G64" i="10"/>
  <c r="G65" i="10" s="1"/>
  <c r="H64" i="30" l="1"/>
  <c r="Y68" i="30"/>
  <c r="H58" i="30"/>
  <c r="I59" i="30"/>
  <c r="G63" i="30"/>
  <c r="I63" i="30" s="1"/>
  <c r="V85" i="30"/>
  <c r="V66" i="30" s="1"/>
  <c r="V67" i="30" s="1"/>
  <c r="V59" i="30"/>
  <c r="V62" i="30" s="1"/>
  <c r="X84" i="30"/>
  <c r="W84" i="30"/>
  <c r="E57" i="30"/>
  <c r="F75" i="30"/>
  <c r="F57" i="30" s="1"/>
  <c r="G75" i="30"/>
  <c r="G57" i="30" s="1"/>
  <c r="X80" i="30"/>
  <c r="X83" i="30" s="1"/>
  <c r="X58" i="30" s="1"/>
  <c r="V80" i="30"/>
  <c r="V83" i="30" s="1"/>
  <c r="V58" i="30" s="1"/>
  <c r="V61" i="30" s="1"/>
  <c r="W80" i="30"/>
  <c r="W83" i="30" s="1"/>
  <c r="W58" i="30" s="1"/>
  <c r="W61" i="30" s="1"/>
  <c r="V79" i="30"/>
  <c r="Y49" i="10"/>
  <c r="V49" i="10"/>
  <c r="W49" i="10"/>
  <c r="X49" i="10"/>
  <c r="AG40" i="10"/>
  <c r="AG36" i="10"/>
  <c r="AG38" i="10"/>
  <c r="AC49" i="10"/>
  <c r="AG28" i="10"/>
  <c r="AG33" i="10"/>
  <c r="AG43" i="10"/>
  <c r="AG34" i="10"/>
  <c r="AG41" i="10"/>
  <c r="AG46" i="10"/>
  <c r="AG29" i="10"/>
  <c r="AG44" i="10"/>
  <c r="AG37" i="10"/>
  <c r="Q50" i="10"/>
  <c r="G66" i="10" s="1"/>
  <c r="AG45" i="10"/>
  <c r="AG30" i="10"/>
  <c r="AG32" i="10"/>
  <c r="AG39" i="10"/>
  <c r="AG35" i="10"/>
  <c r="AG31" i="10"/>
  <c r="P38" i="10"/>
  <c r="P41" i="10"/>
  <c r="P43" i="10"/>
  <c r="P39" i="10"/>
  <c r="P32" i="10"/>
  <c r="P31" i="10"/>
  <c r="P45" i="10"/>
  <c r="P30" i="10"/>
  <c r="P37" i="10"/>
  <c r="P40" i="10"/>
  <c r="P29" i="10"/>
  <c r="P33" i="10"/>
  <c r="P42" i="10"/>
  <c r="P44" i="10"/>
  <c r="P36" i="10"/>
  <c r="P35" i="10"/>
  <c r="P34" i="10"/>
  <c r="P28" i="10"/>
  <c r="P46" i="10"/>
  <c r="P27" i="10"/>
  <c r="AA49" i="10"/>
  <c r="Z49" i="10"/>
  <c r="AB49" i="10"/>
  <c r="Z58" i="30" l="1"/>
  <c r="X61" i="30"/>
  <c r="Y61" i="30" s="1"/>
  <c r="W85" i="30"/>
  <c r="W66" i="30" s="1"/>
  <c r="W67" i="30" s="1"/>
  <c r="W59" i="30"/>
  <c r="W62" i="30" s="1"/>
  <c r="X79" i="30"/>
  <c r="X82" i="30" s="1"/>
  <c r="X57" i="30" s="1"/>
  <c r="V82" i="30"/>
  <c r="V57" i="30" s="1"/>
  <c r="V60" i="30" s="1"/>
  <c r="W79" i="30"/>
  <c r="W82" i="30" s="1"/>
  <c r="W57" i="30" s="1"/>
  <c r="W60" i="30" s="1"/>
  <c r="I57" i="30"/>
  <c r="X85" i="30"/>
  <c r="X66" i="30" s="1"/>
  <c r="X59" i="30"/>
  <c r="F64" i="10"/>
  <c r="F65" i="10" s="1"/>
  <c r="AH50" i="10"/>
  <c r="AH54" i="10" s="1"/>
  <c r="AG49" i="10"/>
  <c r="AG53" i="10" s="1"/>
  <c r="O49" i="10"/>
  <c r="P48" i="10"/>
  <c r="E64" i="10"/>
  <c r="X70" i="10"/>
  <c r="X71" i="10" s="1"/>
  <c r="AE49" i="10"/>
  <c r="Q49" i="10"/>
  <c r="AD49" i="10"/>
  <c r="AG42" i="10"/>
  <c r="AG27" i="10"/>
  <c r="P50" i="10"/>
  <c r="Z59" i="30" l="1"/>
  <c r="X62" i="30"/>
  <c r="Z62" i="30" s="1"/>
  <c r="Z66" i="30"/>
  <c r="X67" i="30"/>
  <c r="Z67" i="30" s="1"/>
  <c r="Z57" i="30"/>
  <c r="X60" i="30"/>
  <c r="Z60" i="30" s="1"/>
  <c r="E65" i="10"/>
  <c r="W70" i="10"/>
  <c r="AF49" i="10"/>
  <c r="AF53" i="10" s="1"/>
  <c r="AH49" i="10"/>
  <c r="AH53" i="10" s="1"/>
  <c r="AG50" i="10"/>
  <c r="AG48" i="10"/>
  <c r="AG52" i="10" s="1"/>
  <c r="V70" i="10"/>
  <c r="X72" i="10"/>
  <c r="F66" i="10"/>
  <c r="E66" i="10" l="1"/>
  <c r="H65" i="10"/>
  <c r="AG54" i="10"/>
  <c r="V71" i="10"/>
  <c r="W71" i="10"/>
  <c r="W72" i="10" l="1"/>
  <c r="H66" i="10"/>
  <c r="E71" i="10" s="1"/>
  <c r="V72" i="10"/>
  <c r="Y71" i="10"/>
  <c r="E57" i="10" l="1"/>
  <c r="E61" i="10"/>
  <c r="G71" i="10"/>
  <c r="G57" i="10" s="1"/>
  <c r="F71" i="10"/>
  <c r="H67" i="10"/>
  <c r="F67" i="10" s="1"/>
  <c r="Y72" i="10"/>
  <c r="V77" i="10" s="1"/>
  <c r="V62" i="10" s="1"/>
  <c r="F61" i="10" l="1"/>
  <c r="G61" i="10"/>
  <c r="F57" i="10"/>
  <c r="H57" i="10" s="1"/>
  <c r="V67" i="10"/>
  <c r="E74" i="10"/>
  <c r="E54" i="10" s="1"/>
  <c r="E75" i="10"/>
  <c r="E55" i="10" s="1"/>
  <c r="E67" i="10"/>
  <c r="E73" i="10" s="1"/>
  <c r="E53" i="10" s="1"/>
  <c r="E68" i="10"/>
  <c r="E69" i="10" s="1"/>
  <c r="E56" i="10"/>
  <c r="F68" i="10"/>
  <c r="F69" i="10" s="1"/>
  <c r="F75" i="10" s="1"/>
  <c r="F55" i="10" s="1"/>
  <c r="H68" i="10"/>
  <c r="H69" i="10" s="1"/>
  <c r="Y73" i="10"/>
  <c r="V87" i="10" s="1"/>
  <c r="V88" i="10" s="1"/>
  <c r="V65" i="10" s="1"/>
  <c r="V66" i="10" s="1"/>
  <c r="X77" i="10"/>
  <c r="X62" i="10" s="1"/>
  <c r="W77" i="10"/>
  <c r="H61" i="10" l="1"/>
  <c r="W67" i="10"/>
  <c r="W62" i="10"/>
  <c r="Y62" i="10" s="1"/>
  <c r="X67" i="10"/>
  <c r="G75" i="10"/>
  <c r="G55" i="10" s="1"/>
  <c r="H55" i="10" s="1"/>
  <c r="F74" i="10"/>
  <c r="F54" i="10" s="1"/>
  <c r="G74" i="10"/>
  <c r="G54" i="10" s="1"/>
  <c r="G73" i="10"/>
  <c r="G53" i="10" s="1"/>
  <c r="E72" i="10"/>
  <c r="E52" i="10" s="1"/>
  <c r="F73" i="10"/>
  <c r="F53" i="10" s="1"/>
  <c r="E60" i="10"/>
  <c r="F56" i="10"/>
  <c r="G56" i="10"/>
  <c r="W73" i="10"/>
  <c r="V80" i="10" s="1"/>
  <c r="Y74" i="10"/>
  <c r="Y75" i="10" s="1"/>
  <c r="W87" i="10"/>
  <c r="W88" i="10" s="1"/>
  <c r="W65" i="10" s="1"/>
  <c r="W66" i="10" s="1"/>
  <c r="V74" i="10"/>
  <c r="V75" i="10" s="1"/>
  <c r="V56" i="10"/>
  <c r="W74" i="10"/>
  <c r="W75" i="10" s="1"/>
  <c r="V73" i="10"/>
  <c r="V78" i="10" s="1"/>
  <c r="X87" i="10"/>
  <c r="X88" i="10" s="1"/>
  <c r="X65" i="10" s="1"/>
  <c r="Y67" i="10" l="1"/>
  <c r="X66" i="10"/>
  <c r="Z66" i="10" s="1"/>
  <c r="Z65" i="10"/>
  <c r="V61" i="10"/>
  <c r="I54" i="10"/>
  <c r="H53" i="10"/>
  <c r="I56" i="10"/>
  <c r="W81" i="10"/>
  <c r="W86" i="10" s="1"/>
  <c r="W55" i="10" s="1"/>
  <c r="W60" i="10" s="1"/>
  <c r="X81" i="10"/>
  <c r="X86" i="10" s="1"/>
  <c r="X55" i="10" s="1"/>
  <c r="X79" i="10"/>
  <c r="X84" i="10" s="1"/>
  <c r="X53" i="10" s="1"/>
  <c r="W79" i="10"/>
  <c r="W84" i="10" s="1"/>
  <c r="W53" i="10" s="1"/>
  <c r="W58" i="10" s="1"/>
  <c r="V85" i="10"/>
  <c r="V81" i="10"/>
  <c r="V86" i="10" s="1"/>
  <c r="V55" i="10" s="1"/>
  <c r="G72" i="10"/>
  <c r="G52" i="10" s="1"/>
  <c r="F72" i="10"/>
  <c r="F52" i="10" s="1"/>
  <c r="F60" i="10"/>
  <c r="G60" i="10"/>
  <c r="W56" i="10"/>
  <c r="W61" i="10" s="1"/>
  <c r="V79" i="10"/>
  <c r="V84" i="10" s="1"/>
  <c r="V53" i="10" s="1"/>
  <c r="X56" i="10"/>
  <c r="V54" i="10" l="1"/>
  <c r="V59" i="10" s="1"/>
  <c r="Z55" i="10"/>
  <c r="Z56" i="10"/>
  <c r="Z53" i="10"/>
  <c r="X58" i="10"/>
  <c r="Y58" i="10" s="1"/>
  <c r="X61" i="10"/>
  <c r="Z61" i="10" s="1"/>
  <c r="X60" i="10"/>
  <c r="Y60" i="10" s="1"/>
  <c r="V60" i="10"/>
  <c r="V58" i="10"/>
  <c r="I52" i="10"/>
  <c r="I60" i="10"/>
  <c r="W80" i="10"/>
  <c r="W85" i="10" s="1"/>
  <c r="W54" i="10" s="1"/>
  <c r="W59" i="10" s="1"/>
  <c r="X80" i="10"/>
  <c r="X85" i="10" s="1"/>
  <c r="X54" i="10" s="1"/>
  <c r="X78" i="10"/>
  <c r="X83" i="10" s="1"/>
  <c r="X52" i="10" s="1"/>
  <c r="V83" i="10"/>
  <c r="V52" i="10" s="1"/>
  <c r="W78" i="10"/>
  <c r="W83" i="10" s="1"/>
  <c r="W52" i="10" s="1"/>
  <c r="W57" i="10" s="1"/>
  <c r="Z54" i="10" l="1"/>
  <c r="Z52" i="10"/>
  <c r="X59" i="10"/>
  <c r="Z59" i="10" s="1"/>
  <c r="V57" i="10"/>
  <c r="X57" i="10"/>
  <c r="Z57" i="10" s="1"/>
</calcChain>
</file>

<file path=xl/comments1.xml><?xml version="1.0" encoding="utf-8"?>
<comments xmlns="http://schemas.openxmlformats.org/spreadsheetml/2006/main">
  <authors>
    <author>Will Hopkins</author>
  </authors>
  <commentList>
    <comment ref="B2" authorId="0">
      <text>
        <r>
          <rPr>
            <sz val="8"/>
            <color indexed="81"/>
            <rFont val="Tahoma"/>
            <family val="2"/>
          </rPr>
          <t xml:space="preserve">Hopkins WG (2015). Spreadsheets for analysis of reliability. Sportscience 19, xx-xx.
</t>
        </r>
      </text>
    </comment>
    <comment ref="S53" authorId="0">
      <text>
        <r>
          <rPr>
            <sz val="8"/>
            <color indexed="81"/>
            <rFont val="Tahoma"/>
            <family val="2"/>
          </rPr>
          <t>Bartko's (1966) constant k.</t>
        </r>
      </text>
    </comment>
    <comment ref="AJ53" authorId="0">
      <text>
        <r>
          <rPr>
            <sz val="8"/>
            <color indexed="81"/>
            <rFont val="Tahoma"/>
            <family val="2"/>
          </rPr>
          <t>Bartko's (1966) constant k.</t>
        </r>
      </text>
    </comment>
  </commentList>
</comments>
</file>

<file path=xl/comments2.xml><?xml version="1.0" encoding="utf-8"?>
<comments xmlns="http://schemas.openxmlformats.org/spreadsheetml/2006/main">
  <authors>
    <author>Will Hopkins</author>
  </authors>
  <commentList>
    <comment ref="H58" authorId="0">
      <text>
        <r>
          <rPr>
            <sz val="8"/>
            <color indexed="81"/>
            <rFont val="Tahoma"/>
            <family val="2"/>
          </rPr>
          <t xml:space="preserve">If the number of trials is the same as the number of columns of data, the ICC is the alpha reliability.
</t>
        </r>
      </text>
    </comment>
    <comment ref="Y63" authorId="0">
      <text>
        <r>
          <rPr>
            <sz val="8"/>
            <color indexed="81"/>
            <rFont val="Tahoma"/>
            <family val="2"/>
          </rPr>
          <t xml:space="preserve">If the number of trials is the same as the number of columns of data, the ICC is the alpha reliability. 
Use raw data for alpha reliability of Likert-scale items.
</t>
        </r>
      </text>
    </comment>
  </commentList>
</comments>
</file>

<file path=xl/comments3.xml><?xml version="1.0" encoding="utf-8"?>
<comments xmlns="http://schemas.openxmlformats.org/spreadsheetml/2006/main">
  <authors>
    <author>Will Hopkins</author>
  </authors>
  <commentList>
    <comment ref="B2" authorId="0">
      <text>
        <r>
          <rPr>
            <sz val="8"/>
            <color indexed="81"/>
            <rFont val="Tahoma"/>
            <family val="2"/>
          </rPr>
          <t xml:space="preserve">Hopkins WG (2015). Spreadsheets for analysis of reliability. Sportscience 19, xx-xx.
</t>
        </r>
      </text>
    </comment>
    <comment ref="S53" authorId="0">
      <text>
        <r>
          <rPr>
            <sz val="8"/>
            <color indexed="81"/>
            <rFont val="Tahoma"/>
            <family val="2"/>
          </rPr>
          <t>Bartko's (1966) constant k.</t>
        </r>
      </text>
    </comment>
    <comment ref="AJ53" authorId="0">
      <text>
        <r>
          <rPr>
            <sz val="8"/>
            <color indexed="81"/>
            <rFont val="Tahoma"/>
            <family val="2"/>
          </rPr>
          <t>Bartko's (1966) constant k.</t>
        </r>
      </text>
    </comment>
  </commentList>
</comments>
</file>

<file path=xl/sharedStrings.xml><?xml version="1.0" encoding="utf-8"?>
<sst xmlns="http://schemas.openxmlformats.org/spreadsheetml/2006/main" count="1794" uniqueCount="152">
  <si>
    <t>n</t>
  </si>
  <si>
    <t>SD</t>
  </si>
  <si>
    <t>Mean</t>
  </si>
  <si>
    <t>True values</t>
  </si>
  <si>
    <t>Alex</t>
  </si>
  <si>
    <t>Ariel</t>
  </si>
  <si>
    <t>Ashley</t>
  </si>
  <si>
    <t>Bernie</t>
  </si>
  <si>
    <t>Casey</t>
  </si>
  <si>
    <t>Chris</t>
  </si>
  <si>
    <t>Corey</t>
  </si>
  <si>
    <t>Courtney</t>
  </si>
  <si>
    <t>Devon</t>
  </si>
  <si>
    <t>Drew</t>
  </si>
  <si>
    <t>Dylan</t>
  </si>
  <si>
    <t>Frances</t>
  </si>
  <si>
    <t>Gene</t>
  </si>
  <si>
    <t>Jaimie</t>
  </si>
  <si>
    <t>Jean</t>
  </si>
  <si>
    <t>Jesse</t>
  </si>
  <si>
    <t>Jo</t>
  </si>
  <si>
    <t>Jordan</t>
  </si>
  <si>
    <t>Jody</t>
  </si>
  <si>
    <t>Kade</t>
  </si>
  <si>
    <t>Analysis of raw data</t>
  </si>
  <si>
    <t>Between-subject CV (%)</t>
  </si>
  <si>
    <r>
      <t xml:space="preserve">Equivalent </t>
    </r>
    <r>
      <rPr>
        <sz val="10"/>
        <rFont val="Symbol"/>
        <family val="1"/>
        <charset val="2"/>
      </rPr>
      <t>´¤¸</t>
    </r>
    <r>
      <rPr>
        <sz val="10"/>
        <rFont val="Arial"/>
        <family val="2"/>
      </rPr>
      <t xml:space="preserve"> factor SD</t>
    </r>
  </si>
  <si>
    <t>SumSquares</t>
  </si>
  <si>
    <t>total</t>
  </si>
  <si>
    <t>error</t>
  </si>
  <si>
    <t>DegFree</t>
  </si>
  <si>
    <t>AthleteID</t>
  </si>
  <si>
    <t>DepVar</t>
  </si>
  <si>
    <t>LnDepVar</t>
  </si>
  <si>
    <t>Lose/tie/win</t>
  </si>
  <si>
    <t>Game1</t>
  </si>
  <si>
    <t>Game2</t>
  </si>
  <si>
    <t>Game3</t>
  </si>
  <si>
    <t>Game4</t>
  </si>
  <si>
    <t>Game5</t>
  </si>
  <si>
    <t>Game6</t>
  </si>
  <si>
    <t>Game7</t>
  </si>
  <si>
    <t>Game8</t>
  </si>
  <si>
    <t>Game9</t>
  </si>
  <si>
    <t>Game10</t>
  </si>
  <si>
    <t>GameID</t>
  </si>
  <si>
    <t>LoseTieWin</t>
  </si>
  <si>
    <t>Subjects</t>
  </si>
  <si>
    <t>Games</t>
  </si>
  <si>
    <t>(rows)</t>
  </si>
  <si>
    <t>SD^2</t>
  </si>
  <si>
    <t>SE^2 of SD^2</t>
  </si>
  <si>
    <t>SE of SD^2</t>
  </si>
  <si>
    <t>Effect of lose/tie/win (%)</t>
  </si>
  <si>
    <t>Back-transformed:</t>
  </si>
  <si>
    <t>CV (%)</t>
  </si>
  <si>
    <t>ICC</t>
  </si>
  <si>
    <t>LCL</t>
  </si>
  <si>
    <t>UCL</t>
  </si>
  <si>
    <t>Error and ICC for mean of</t>
  </si>
  <si>
    <t>trials</t>
  </si>
  <si>
    <t>Error SD</t>
  </si>
  <si>
    <t>True subject variance</t>
  </si>
  <si>
    <t>True subject SD</t>
  </si>
  <si>
    <t>Observed subject variance</t>
  </si>
  <si>
    <t>Observed subject SD</t>
  </si>
  <si>
    <t>F ratio</t>
  </si>
  <si>
    <t>Observed game variance</t>
  </si>
  <si>
    <t>True game variance</t>
  </si>
  <si>
    <t>Observed game SD</t>
  </si>
  <si>
    <t>True game SD</t>
  </si>
  <si>
    <t>Obsvd subj variance</t>
  </si>
  <si>
    <t>Obsvd game variance</t>
  </si>
  <si>
    <t>True subj variance</t>
  </si>
  <si>
    <t>±CL</t>
  </si>
  <si>
    <r>
      <t>´¤¸</t>
    </r>
    <r>
      <rPr>
        <sz val="10"/>
        <rFont val="Arial"/>
        <family val="2"/>
      </rPr>
      <t>CL</t>
    </r>
  </si>
  <si>
    <t>(columns)</t>
  </si>
  <si>
    <t>Within-subject random error (%)</t>
  </si>
  <si>
    <t>Analysis of log-transformed data</t>
  </si>
  <si>
    <t>Observed subject factor SD</t>
  </si>
  <si>
    <t>Error factor SD</t>
  </si>
  <si>
    <t>Observed game factor SD</t>
  </si>
  <si>
    <t>True subject factor SD</t>
  </si>
  <si>
    <t>True game factor SD</t>
  </si>
  <si>
    <t>Depedent variable</t>
  </si>
  <si>
    <t>100*log(observed values)</t>
  </si>
  <si>
    <t>Simulation to create raw observed values</t>
  </si>
  <si>
    <t>All subjects have been given the same variability from measurement to measurement, the within-subject random error.</t>
  </si>
  <si>
    <t>Sequence of development of the simulation:</t>
  </si>
  <si>
    <t>The data are simulated by assigning percent standard deviations (coefficients of variation) to the differences between subjects and to the within-subject random error.</t>
  </si>
  <si>
    <t>The data therefore need log transformation before analysis, the aim of which is to estimate the two CVs and to express them as an intraclass correlation coefficient.</t>
  </si>
  <si>
    <t>For sums of</t>
  </si>
  <si>
    <t>squares</t>
  </si>
  <si>
    <r>
      <t>Hover cursor</t>
    </r>
    <r>
      <rPr>
        <sz val="10"/>
        <rFont val="Arial"/>
        <family val="2"/>
      </rPr>
      <t xml:space="preserve"> for citation:</t>
    </r>
  </si>
  <si>
    <t>Read the article for an explanation of the analyses.</t>
  </si>
  <si>
    <t>Read comment.</t>
  </si>
  <si>
    <t>Choose confidence level (%):</t>
  </si>
  <si>
    <t xml:space="preserve">   depending on whether the team lost, tied, or won the game.</t>
  </si>
  <si>
    <t xml:space="preserve">     or values of repeated tests on athletes, when you are confident that the tests are in some sense all similar (no habituation or order effects).  </t>
  </si>
  <si>
    <r>
      <t xml:space="preserve">To analyze your own data, replace the main block of data shown in </t>
    </r>
    <r>
      <rPr>
        <sz val="10"/>
        <color rgb="FF800080"/>
        <rFont val="Arial"/>
        <family val="2"/>
      </rPr>
      <t>plum color</t>
    </r>
    <r>
      <rPr>
        <sz val="10"/>
        <rFont val="Arial"/>
        <family val="2"/>
      </rPr>
      <t>.</t>
    </r>
  </si>
  <si>
    <t>If you have missing raw data, you will have to delete #NUM! from the corresponding cells here.</t>
  </si>
  <si>
    <t>SIMULATION AND ANALYSIS FOR 1-WAY RELIABILITY</t>
  </si>
  <si>
    <t>SIMULATION AND ANALYSIS FOR 2-WAY RELIABILITY</t>
  </si>
  <si>
    <t>The data are 10 repeated measurements on each of 20 subjects.  The data could be something like distance of high-speed running in games</t>
  </si>
  <si>
    <r>
      <t xml:space="preserve">To generate a whole new set of data, click in a blank cell away from other cells and hit </t>
    </r>
    <r>
      <rPr>
        <b/>
        <sz val="10"/>
        <rFont val="Arial"/>
        <family val="2"/>
      </rPr>
      <t>Ctrl-D</t>
    </r>
    <r>
      <rPr>
        <sz val="10"/>
        <rFont val="Arial"/>
        <family val="2"/>
      </rPr>
      <t>.</t>
    </r>
  </si>
  <si>
    <t>This spreadsheet simulates and analyzes data for a 1-way reliability study. It was adapted from a spreadsheet in the article Understanding Stats via Simulations.</t>
  </si>
  <si>
    <r>
      <t>Change the values in</t>
    </r>
    <r>
      <rPr>
        <b/>
        <sz val="10"/>
        <color rgb="FF0000FF"/>
        <rFont val="Arial"/>
        <family val="2"/>
      </rPr>
      <t xml:space="preserve"> bold blue</t>
    </r>
    <r>
      <rPr>
        <sz val="10"/>
        <rFont val="Arial"/>
        <family val="2"/>
      </rPr>
      <t xml:space="preserve"> and see what happens to the outcomes in </t>
    </r>
    <r>
      <rPr>
        <sz val="10"/>
        <color rgb="FFFF0000"/>
        <rFont val="Arial"/>
        <family val="2"/>
      </rPr>
      <t>red</t>
    </r>
    <r>
      <rPr>
        <sz val="10"/>
        <rFont val="Arial"/>
        <family val="2"/>
      </rPr>
      <t xml:space="preserve">.   </t>
    </r>
  </si>
  <si>
    <t>For this 1-way analysis of reliability, the measurements are not associated with particular games.</t>
  </si>
  <si>
    <t>For data requiring log transformation, whatever deletions and insertions you do to the block of raw data will have to be done to the block of log-transformed data. Check that the right cells have been transformed.</t>
  </si>
  <si>
    <t xml:space="preserve">An analysis is also shown for the raw data, and for the mean of a chosen number of repeated measurements. </t>
  </si>
  <si>
    <r>
      <t xml:space="preserve">This spreadsheet works with missing data. </t>
    </r>
    <r>
      <rPr>
        <sz val="10"/>
        <rFont val="Arial"/>
        <family val="2"/>
      </rPr>
      <t>Try deleting some. Copy-drag or copy-paste from adjacent cells to reinstate those cells.</t>
    </r>
  </si>
  <si>
    <r>
      <t xml:space="preserve">You can also delete or copy-and-insert </t>
    </r>
    <r>
      <rPr>
        <b/>
        <sz val="10"/>
        <rFont val="Arial"/>
        <family val="2"/>
      </rPr>
      <t xml:space="preserve">whole </t>
    </r>
    <r>
      <rPr>
        <sz val="10"/>
        <rFont val="Arial"/>
        <family val="2"/>
      </rPr>
      <t xml:space="preserve">rows and </t>
    </r>
    <r>
      <rPr>
        <b/>
        <sz val="10"/>
        <rFont val="Arial"/>
        <family val="2"/>
      </rPr>
      <t>whole</t>
    </r>
    <r>
      <rPr>
        <sz val="10"/>
        <rFont val="Arial"/>
        <family val="2"/>
      </rPr>
      <t xml:space="preserve"> columns.  Don't delete and don't copy-and-insert the </t>
    </r>
    <r>
      <rPr>
        <b/>
        <sz val="10"/>
        <rFont val="Arial"/>
        <family val="2"/>
      </rPr>
      <t>first data row</t>
    </r>
    <r>
      <rPr>
        <sz val="10"/>
        <rFont val="Arial"/>
        <family val="2"/>
      </rPr>
      <t xml:space="preserve"> or the </t>
    </r>
    <r>
      <rPr>
        <b/>
        <sz val="10"/>
        <rFont val="Arial"/>
        <family val="2"/>
      </rPr>
      <t>first five data columns</t>
    </r>
    <r>
      <rPr>
        <sz val="10"/>
        <rFont val="Arial"/>
        <family val="2"/>
      </rPr>
      <t xml:space="preserve"> (or you will corrupt the spreadsheet).</t>
    </r>
  </si>
  <si>
    <t>The aim of the analysis is the same as before, but now the mean score in each game can be adjusted for, and the differences in the means can be expressed as an SD.</t>
  </si>
  <si>
    <r>
      <t>The effects of losing, tieing or winning are shown as percents.  Losing and winning have been given the same factor effect (</t>
    </r>
    <r>
      <rPr>
        <sz val="10"/>
        <rFont val="Symbol"/>
        <family val="1"/>
        <charset val="2"/>
      </rPr>
      <t>´</t>
    </r>
    <r>
      <rPr>
        <sz val="10"/>
        <rFont val="Arial"/>
        <family val="2"/>
      </rPr>
      <t xml:space="preserve">1.05 and </t>
    </r>
    <r>
      <rPr>
        <sz val="10"/>
        <rFont val="Symbol"/>
        <family val="1"/>
        <charset val="2"/>
      </rPr>
      <t>¸</t>
    </r>
    <r>
      <rPr>
        <sz val="10"/>
        <rFont val="Arial"/>
        <family val="2"/>
      </rPr>
      <t>1.05, which equal 5% and -4.5%).</t>
    </r>
  </si>
  <si>
    <t>L</t>
  </si>
  <si>
    <t>T</t>
  </si>
  <si>
    <t>W</t>
  </si>
  <si>
    <t>The effects of losing, tieing or winning (and any other within- or between-subject factors) can be estimated by including appropriate variables in the mixed model.</t>
  </si>
  <si>
    <t>Such data are unusual, but I have provided this spreadsheet to help you understand reliability, even if you don't use it for your own data.</t>
  </si>
  <si>
    <t>Observed subject CV (%)</t>
  </si>
  <si>
    <t>True subject CV (%)</t>
  </si>
  <si>
    <t>Observed game CV (%)</t>
  </si>
  <si>
    <t>True game CV (%)</t>
  </si>
  <si>
    <t>Error CV (%)</t>
  </si>
  <si>
    <t>Most straightforward reliability analyses can be done with this spreadsheet or the earlier one for consecutive pairwise analysis of repeated measurements.</t>
  </si>
  <si>
    <r>
      <t xml:space="preserve">When </t>
    </r>
    <r>
      <rPr>
        <b/>
        <sz val="10"/>
        <rFont val="Arial"/>
        <family val="2"/>
      </rPr>
      <t>familiarization</t>
    </r>
    <r>
      <rPr>
        <sz val="10"/>
        <rFont val="Arial"/>
        <family val="2"/>
      </rPr>
      <t xml:space="preserve"> or other habituation or order effects occur with only a few repeated measurements, use the </t>
    </r>
    <r>
      <rPr>
        <b/>
        <sz val="10"/>
        <rFont val="Arial"/>
        <family val="2"/>
      </rPr>
      <t>consecutive-pairwise spreadsheet.</t>
    </r>
  </si>
  <si>
    <r>
      <rPr>
        <b/>
        <sz val="10"/>
        <rFont val="Arial"/>
        <family val="2"/>
      </rPr>
      <t xml:space="preserve">This spreadsheet does NOT work with missing data. </t>
    </r>
    <r>
      <rPr>
        <sz val="10"/>
        <rFont val="Arial"/>
        <family val="2"/>
      </rPr>
      <t xml:space="preserve"> Use mixed modeling instead, with the data in the next spreadsheet. See instructions accompanying the article for this spreadsheet. </t>
    </r>
  </si>
  <si>
    <t>See the previous spreadsheet (1-way reliability) for an explanation of the generation of the data and for detailed instructions.</t>
  </si>
  <si>
    <t>Use this spreadsheet when there are no such effects, and when you can assume that the errors on each measurement are equal and independent of each other.</t>
  </si>
  <si>
    <t>The repeated measurements are nevertheless associated with known measuring occasions, such as multiple games or items in a psychometric inventory.</t>
  </si>
  <si>
    <t>Here the subjects are players in a team. They all experience a given increase or decrease in their scores from game to game,</t>
  </si>
  <si>
    <t>SPSS produces this</t>
  </si>
  <si>
    <t>and this</t>
  </si>
  <si>
    <t>Parameter</t>
  </si>
  <si>
    <t>Estimate</t>
  </si>
  <si>
    <t>Std. Error</t>
  </si>
  <si>
    <t>Wald Z</t>
  </si>
  <si>
    <t>Sig.</t>
  </si>
  <si>
    <t>90% Confidence Interval</t>
  </si>
  <si>
    <t>Lower Bound</t>
  </si>
  <si>
    <t>Upper Bound</t>
  </si>
  <si>
    <t>Residual</t>
  </si>
  <si>
    <t>Intercept [subject = AthleteID]</t>
  </si>
  <si>
    <t>Variance</t>
  </si>
  <si>
    <t>a. Dependent Variable: LnDepVar.</t>
  </si>
  <si>
    <r>
      <t>Estimates of Covariance Parameters</t>
    </r>
    <r>
      <rPr>
        <b/>
        <vertAlign val="superscript"/>
        <sz val="7"/>
        <color indexed="8"/>
        <rFont val="Arial Bold"/>
      </rPr>
      <t>a</t>
    </r>
  </si>
  <si>
    <t>Intercept [subject = GameID]</t>
  </si>
  <si>
    <t>Output from SPSS:</t>
  </si>
  <si>
    <t>SPSS produces this line</t>
  </si>
  <si>
    <t>and this line.</t>
  </si>
  <si>
    <t>SPSS output:</t>
  </si>
  <si>
    <r>
      <rPr>
        <b/>
        <sz val="10"/>
        <rFont val="Arial"/>
        <family val="2"/>
      </rPr>
      <t xml:space="preserve">This spreadsheet does NOT work with missing data. </t>
    </r>
    <r>
      <rPr>
        <sz val="10"/>
        <rFont val="Arial"/>
        <family val="2"/>
      </rPr>
      <t xml:space="preserve"> It is provided here only to generate the next spreadsheet of data in the right format for mixed modeling.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</si>
</sst>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0"/>
    <numFmt numFmtId="166" formatCode="###0.000"/>
    <numFmt numFmtId="167" formatCode="####.000"/>
    <numFmt numFmtId="168" formatCode="####.000000"/>
  </numFmts>
  <fonts count="17" x14ac:knownFonts="1">
    <font>
      <sz val="10"/>
      <name val="Arial"/>
    </font>
    <font>
      <sz val="10"/>
      <name val="Arial"/>
      <family val="2"/>
    </font>
    <font>
      <sz val="8"/>
      <name val="Arial"/>
      <family val="2"/>
    </font>
    <font>
      <sz val="10"/>
      <color indexed="12"/>
      <name val="Arial"/>
      <family val="2"/>
    </font>
    <font>
      <b/>
      <sz val="10"/>
      <name val="Arial"/>
      <family val="2"/>
    </font>
    <font>
      <sz val="10"/>
      <name val="Symbol"/>
      <family val="1"/>
      <charset val="2"/>
    </font>
    <font>
      <b/>
      <sz val="10"/>
      <color indexed="12"/>
      <name val="Arial"/>
      <family val="2"/>
    </font>
    <font>
      <sz val="10"/>
      <color rgb="FF0000FF"/>
      <name val="Arial"/>
      <family val="2"/>
    </font>
    <font>
      <b/>
      <sz val="10"/>
      <color rgb="FF0000FF"/>
      <name val="Arial"/>
      <family val="2"/>
    </font>
    <font>
      <sz val="10"/>
      <color rgb="FFFF0000"/>
      <name val="Arial"/>
      <family val="2"/>
    </font>
    <font>
      <b/>
      <sz val="10"/>
      <color rgb="FFFF0000"/>
      <name val="Arial"/>
      <family val="2"/>
    </font>
    <font>
      <sz val="10"/>
      <color rgb="FF800080"/>
      <name val="Arial"/>
      <family val="2"/>
    </font>
    <font>
      <b/>
      <sz val="11"/>
      <name val="Arial"/>
      <family val="2"/>
    </font>
    <font>
      <sz val="8"/>
      <color indexed="81"/>
      <name val="Tahoma"/>
      <family val="2"/>
    </font>
    <font>
      <b/>
      <vertAlign val="superscript"/>
      <sz val="7"/>
      <color indexed="8"/>
      <name val="Arial Bold"/>
    </font>
    <font>
      <b/>
      <sz val="7"/>
      <color indexed="8"/>
      <name val="Arial Bold"/>
    </font>
    <font>
      <sz val="7"/>
      <color indexed="8"/>
      <name val="Arial"/>
      <family val="2"/>
    </font>
  </fonts>
  <fills count="13">
    <fill>
      <patternFill patternType="none"/>
    </fill>
    <fill>
      <patternFill patternType="gray125"/>
    </fill>
    <fill>
      <patternFill patternType="solid">
        <fgColor indexed="45"/>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indexed="55"/>
        <bgColor indexed="64"/>
      </patternFill>
    </fill>
    <fill>
      <patternFill patternType="solid">
        <fgColor rgb="FFCC99FF"/>
        <bgColor indexed="64"/>
      </patternFill>
    </fill>
    <fill>
      <patternFill patternType="solid">
        <fgColor rgb="FFC0C0C0"/>
        <bgColor indexed="64"/>
      </patternFill>
    </fill>
    <fill>
      <patternFill patternType="solid">
        <fgColor rgb="FF99CCFF"/>
        <bgColor indexed="64"/>
      </patternFill>
    </fill>
    <fill>
      <patternFill patternType="solid">
        <fgColor rgb="FF969696"/>
        <bgColor indexed="64"/>
      </patternFill>
    </fill>
    <fill>
      <patternFill patternType="solid">
        <fgColor rgb="FFFFFF9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ck">
        <color indexed="8"/>
      </left>
      <right/>
      <top style="thick">
        <color indexed="8"/>
      </top>
      <bottom/>
      <diagonal/>
    </border>
    <border>
      <left/>
      <right style="thick">
        <color indexed="8"/>
      </right>
      <top style="thick">
        <color indexed="8"/>
      </top>
      <bottom/>
      <diagonal/>
    </border>
    <border>
      <left style="thick">
        <color indexed="8"/>
      </left>
      <right style="thin">
        <color indexed="8"/>
      </right>
      <top style="thick">
        <color indexed="8"/>
      </top>
      <bottom style="thin">
        <color indexed="8"/>
      </bottom>
      <diagonal/>
    </border>
    <border>
      <left style="thin">
        <color indexed="8"/>
      </left>
      <right style="thin">
        <color indexed="8"/>
      </right>
      <top style="thick">
        <color indexed="8"/>
      </top>
      <bottom style="thin">
        <color indexed="8"/>
      </bottom>
      <diagonal/>
    </border>
    <border>
      <left style="thin">
        <color indexed="8"/>
      </left>
      <right style="thick">
        <color indexed="8"/>
      </right>
      <top style="thick">
        <color indexed="8"/>
      </top>
      <bottom style="thin">
        <color indexed="8"/>
      </bottom>
      <diagonal/>
    </border>
    <border>
      <left style="thick">
        <color indexed="8"/>
      </left>
      <right/>
      <top/>
      <bottom style="thick">
        <color indexed="8"/>
      </bottom>
      <diagonal/>
    </border>
    <border>
      <left/>
      <right style="thick">
        <color indexed="8"/>
      </right>
      <top/>
      <bottom style="thick">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ck">
        <color indexed="8"/>
      </left>
      <right style="thin">
        <color indexed="8"/>
      </right>
      <top style="thick">
        <color indexed="8"/>
      </top>
      <bottom/>
      <diagonal/>
    </border>
    <border>
      <left style="thin">
        <color indexed="8"/>
      </left>
      <right style="thin">
        <color indexed="8"/>
      </right>
      <top style="thick">
        <color indexed="8"/>
      </top>
      <bottom/>
      <diagonal/>
    </border>
    <border>
      <left style="thin">
        <color indexed="8"/>
      </left>
      <right style="thick">
        <color indexed="8"/>
      </right>
      <top style="thick">
        <color indexed="8"/>
      </top>
      <bottom/>
      <diagonal/>
    </border>
    <border>
      <left style="thick">
        <color indexed="8"/>
      </left>
      <right style="thin">
        <color indexed="8"/>
      </right>
      <top/>
      <bottom style="thick">
        <color indexed="8"/>
      </bottom>
      <diagonal/>
    </border>
    <border>
      <left style="thin">
        <color indexed="8"/>
      </left>
      <right style="thin">
        <color indexed="8"/>
      </right>
      <top/>
      <bottom style="thick">
        <color indexed="8"/>
      </bottom>
      <diagonal/>
    </border>
    <border>
      <left style="thin">
        <color indexed="8"/>
      </left>
      <right style="thick">
        <color indexed="8"/>
      </right>
      <top/>
      <bottom style="thick">
        <color indexed="8"/>
      </bottom>
      <diagonal/>
    </border>
    <border>
      <left style="thick">
        <color indexed="8"/>
      </left>
      <right/>
      <top/>
      <bottom/>
      <diagonal/>
    </border>
    <border>
      <left/>
      <right style="thick">
        <color indexed="8"/>
      </right>
      <top/>
      <bottom/>
      <diagonal/>
    </border>
    <border>
      <left style="thick">
        <color indexed="8"/>
      </left>
      <right style="thin">
        <color indexed="8"/>
      </right>
      <top/>
      <bottom/>
      <diagonal/>
    </border>
    <border>
      <left style="thin">
        <color indexed="8"/>
      </left>
      <right style="thin">
        <color indexed="8"/>
      </right>
      <top/>
      <bottom/>
      <diagonal/>
    </border>
    <border>
      <left style="thin">
        <color indexed="8"/>
      </left>
      <right style="thick">
        <color indexed="8"/>
      </right>
      <top/>
      <bottom/>
      <diagonal/>
    </border>
  </borders>
  <cellStyleXfs count="4">
    <xf numFmtId="0" fontId="0" fillId="0" borderId="0"/>
    <xf numFmtId="0" fontId="1" fillId="0" borderId="0"/>
    <xf numFmtId="0" fontId="1" fillId="0" borderId="0"/>
    <xf numFmtId="0" fontId="1" fillId="0" borderId="0"/>
  </cellStyleXfs>
  <cellXfs count="296">
    <xf numFmtId="0" fontId="0" fillId="0" borderId="0" xfId="0"/>
    <xf numFmtId="0" fontId="0" fillId="0" borderId="0" xfId="0" applyAlignment="1">
      <alignment horizontal="right"/>
    </xf>
    <xf numFmtId="0" fontId="0" fillId="0" borderId="0" xfId="0" applyAlignment="1">
      <alignment horizontal="center"/>
    </xf>
    <xf numFmtId="2" fontId="0" fillId="0" borderId="0" xfId="0" applyNumberFormat="1" applyAlignment="1">
      <alignment horizontal="center"/>
    </xf>
    <xf numFmtId="0" fontId="0" fillId="0" borderId="0" xfId="0" applyAlignment="1">
      <alignment horizontal="center" wrapText="1"/>
    </xf>
    <xf numFmtId="164" fontId="0" fillId="0" borderId="0" xfId="0" applyNumberFormat="1" applyAlignment="1">
      <alignment horizontal="center"/>
    </xf>
    <xf numFmtId="1" fontId="0" fillId="0" borderId="0" xfId="0" applyNumberFormat="1" applyAlignment="1">
      <alignment horizontal="center"/>
    </xf>
    <xf numFmtId="0" fontId="0" fillId="0" borderId="0" xfId="0" applyAlignment="1">
      <alignment horizontal="left"/>
    </xf>
    <xf numFmtId="0" fontId="3" fillId="0" borderId="0" xfId="0" applyFont="1" applyAlignment="1">
      <alignment horizontal="center"/>
    </xf>
    <xf numFmtId="0" fontId="4" fillId="0" borderId="0" xfId="0" applyFont="1" applyAlignment="1">
      <alignment horizontal="right"/>
    </xf>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0" borderId="0" xfId="0" applyFill="1"/>
    <xf numFmtId="0" fontId="0" fillId="2" borderId="0" xfId="0" applyFill="1" applyAlignment="1">
      <alignment horizontal="center" wrapText="1"/>
    </xf>
    <xf numFmtId="0" fontId="0" fillId="0" borderId="0" xfId="0" applyFill="1" applyAlignment="1">
      <alignment horizontal="center" wrapText="1"/>
    </xf>
    <xf numFmtId="0" fontId="0" fillId="0" borderId="0" xfId="0" applyFill="1" applyAlignment="1">
      <alignment horizontal="center"/>
    </xf>
    <xf numFmtId="0" fontId="0" fillId="2" borderId="0" xfId="0" applyFill="1" applyAlignment="1">
      <alignment horizontal="right"/>
    </xf>
    <xf numFmtId="1" fontId="0" fillId="3" borderId="0" xfId="0" applyNumberFormat="1" applyFill="1" applyAlignment="1">
      <alignment horizontal="center"/>
    </xf>
    <xf numFmtId="0" fontId="0" fillId="5" borderId="0" xfId="0" applyFill="1" applyAlignment="1">
      <alignment horizontal="center" wrapText="1"/>
    </xf>
    <xf numFmtId="0" fontId="1" fillId="2" borderId="0" xfId="0" applyFont="1" applyFill="1" applyAlignment="1">
      <alignment horizontal="center"/>
    </xf>
    <xf numFmtId="0" fontId="0" fillId="7" borderId="0" xfId="0" applyFill="1"/>
    <xf numFmtId="1" fontId="0" fillId="0" borderId="0" xfId="0" applyNumberFormat="1"/>
    <xf numFmtId="2" fontId="0" fillId="0" borderId="0" xfId="0" applyNumberFormat="1" applyAlignment="1">
      <alignment horizontal="left"/>
    </xf>
    <xf numFmtId="0" fontId="4" fillId="0" borderId="0" xfId="0" applyFont="1" applyAlignment="1">
      <alignment horizontal="left"/>
    </xf>
    <xf numFmtId="0" fontId="4" fillId="0" borderId="0" xfId="0" applyFont="1" applyAlignment="1">
      <alignment horizontal="center"/>
    </xf>
    <xf numFmtId="0" fontId="4" fillId="0" borderId="0" xfId="0" applyFont="1" applyFill="1" applyAlignment="1">
      <alignment horizontal="left"/>
    </xf>
    <xf numFmtId="0" fontId="0" fillId="8" borderId="0" xfId="0" applyFill="1"/>
    <xf numFmtId="0" fontId="0" fillId="9" borderId="0" xfId="0" applyFill="1"/>
    <xf numFmtId="0" fontId="1" fillId="0" borderId="0" xfId="0" applyFont="1" applyAlignment="1">
      <alignment horizontal="right"/>
    </xf>
    <xf numFmtId="0" fontId="1" fillId="0" borderId="0" xfId="0" applyFont="1"/>
    <xf numFmtId="0" fontId="1" fillId="2" borderId="0" xfId="0" applyFont="1" applyFill="1" applyAlignment="1">
      <alignment horizontal="right"/>
    </xf>
    <xf numFmtId="0" fontId="0" fillId="10" borderId="0" xfId="0" applyFill="1" applyAlignment="1">
      <alignment horizontal="right"/>
    </xf>
    <xf numFmtId="164" fontId="0" fillId="10" borderId="0" xfId="0" applyNumberFormat="1" applyFill="1" applyAlignment="1">
      <alignment horizontal="center"/>
    </xf>
    <xf numFmtId="0" fontId="0" fillId="10" borderId="0" xfId="0" applyFill="1" applyAlignment="1">
      <alignment horizontal="center"/>
    </xf>
    <xf numFmtId="1" fontId="0" fillId="10" borderId="0" xfId="0" applyNumberFormat="1" applyFill="1" applyAlignment="1">
      <alignment horizontal="center"/>
    </xf>
    <xf numFmtId="0" fontId="1" fillId="0" borderId="0" xfId="0" applyFont="1" applyAlignment="1">
      <alignment horizontal="center"/>
    </xf>
    <xf numFmtId="0" fontId="1" fillId="0" borderId="0" xfId="0" applyFont="1" applyFill="1" applyAlignment="1">
      <alignment horizontal="right"/>
    </xf>
    <xf numFmtId="164" fontId="0" fillId="8" borderId="1" xfId="0" applyNumberFormat="1" applyFill="1" applyBorder="1" applyAlignment="1">
      <alignment horizontal="center"/>
    </xf>
    <xf numFmtId="0" fontId="1" fillId="8" borderId="1" xfId="0" applyFont="1" applyFill="1" applyBorder="1" applyAlignment="1">
      <alignment horizontal="center"/>
    </xf>
    <xf numFmtId="0" fontId="1" fillId="0" borderId="0" xfId="1" applyFont="1"/>
    <xf numFmtId="0" fontId="1" fillId="0" borderId="0" xfId="1"/>
    <xf numFmtId="0" fontId="1" fillId="0" borderId="0" xfId="1" applyAlignment="1">
      <alignment horizontal="center"/>
    </xf>
    <xf numFmtId="0" fontId="1" fillId="0" borderId="0" xfId="1" applyAlignment="1">
      <alignment horizontal="right"/>
    </xf>
    <xf numFmtId="0" fontId="1" fillId="2" borderId="0" xfId="1" applyFill="1"/>
    <xf numFmtId="0" fontId="4" fillId="0" borderId="0" xfId="1" applyFont="1" applyFill="1" applyAlignment="1">
      <alignment horizontal="left"/>
    </xf>
    <xf numFmtId="0" fontId="1" fillId="0" borderId="0" xfId="1" applyFill="1" applyAlignment="1">
      <alignment horizontal="center"/>
    </xf>
    <xf numFmtId="0" fontId="1" fillId="2" borderId="0" xfId="1" applyFill="1" applyAlignment="1">
      <alignment horizontal="center" wrapText="1"/>
    </xf>
    <xf numFmtId="0" fontId="1" fillId="0" borderId="0" xfId="1" applyAlignment="1">
      <alignment horizontal="center" wrapText="1"/>
    </xf>
    <xf numFmtId="0" fontId="1" fillId="0" borderId="0" xfId="1" applyFill="1" applyAlignment="1">
      <alignment horizontal="center" wrapText="1"/>
    </xf>
    <xf numFmtId="0" fontId="1" fillId="0" borderId="0" xfId="1" applyAlignment="1">
      <alignment horizontal="left"/>
    </xf>
    <xf numFmtId="0" fontId="1" fillId="2" borderId="0" xfId="1" applyFill="1" applyAlignment="1">
      <alignment horizontal="right"/>
    </xf>
    <xf numFmtId="0" fontId="3" fillId="0" borderId="0" xfId="1" applyFont="1" applyAlignment="1">
      <alignment horizontal="center"/>
    </xf>
    <xf numFmtId="0" fontId="1" fillId="2" borderId="0" xfId="1" applyFont="1" applyFill="1" applyAlignment="1">
      <alignment horizontal="center"/>
    </xf>
    <xf numFmtId="0" fontId="1" fillId="0" borderId="0" xfId="1" applyFill="1" applyAlignment="1">
      <alignment horizontal="left"/>
    </xf>
    <xf numFmtId="0" fontId="1" fillId="2" borderId="0" xfId="1" applyFont="1" applyFill="1" applyAlignment="1">
      <alignment horizontal="right"/>
    </xf>
    <xf numFmtId="0" fontId="1" fillId="10" borderId="0" xfId="1" applyFill="1" applyAlignment="1">
      <alignment horizontal="center"/>
    </xf>
    <xf numFmtId="1" fontId="1" fillId="3" borderId="0" xfId="1" applyNumberFormat="1" applyFill="1" applyAlignment="1">
      <alignment horizontal="center"/>
    </xf>
    <xf numFmtId="1" fontId="1" fillId="0" borderId="0" xfId="1" applyNumberFormat="1" applyAlignment="1">
      <alignment horizontal="center"/>
    </xf>
    <xf numFmtId="1" fontId="1" fillId="10" borderId="0" xfId="1" applyNumberFormat="1" applyFill="1" applyAlignment="1">
      <alignment horizontal="center"/>
    </xf>
    <xf numFmtId="2" fontId="1" fillId="0" borderId="0" xfId="1" applyNumberFormat="1" applyAlignment="1">
      <alignment horizontal="center"/>
    </xf>
    <xf numFmtId="0" fontId="1" fillId="10" borderId="0" xfId="1" applyFill="1" applyAlignment="1">
      <alignment horizontal="right"/>
    </xf>
    <xf numFmtId="164" fontId="1" fillId="10" borderId="0" xfId="1" applyNumberFormat="1" applyFill="1" applyAlignment="1">
      <alignment horizontal="center"/>
    </xf>
    <xf numFmtId="164" fontId="1" fillId="0" borderId="0" xfId="1" applyNumberFormat="1" applyAlignment="1">
      <alignment horizontal="center"/>
    </xf>
    <xf numFmtId="0" fontId="4" fillId="0" borderId="0" xfId="1" applyFont="1" applyAlignment="1">
      <alignment horizontal="right"/>
    </xf>
    <xf numFmtId="164" fontId="1" fillId="0" borderId="0" xfId="0" applyNumberFormat="1" applyFont="1" applyAlignment="1">
      <alignment horizontal="center"/>
    </xf>
    <xf numFmtId="0" fontId="1" fillId="0" borderId="0" xfId="0" applyFont="1" applyAlignment="1">
      <alignment horizontal="left"/>
    </xf>
    <xf numFmtId="1" fontId="0" fillId="0" borderId="0" xfId="0" applyNumberFormat="1" applyFill="1" applyAlignment="1">
      <alignment horizontal="center"/>
    </xf>
    <xf numFmtId="0" fontId="6" fillId="2" borderId="0" xfId="0" applyFont="1" applyFill="1" applyAlignment="1">
      <alignment horizontal="center"/>
    </xf>
    <xf numFmtId="0" fontId="0" fillId="0" borderId="7" xfId="0" applyBorder="1" applyAlignment="1">
      <alignment horizontal="center"/>
    </xf>
    <xf numFmtId="0" fontId="1" fillId="0" borderId="7" xfId="0" applyFont="1" applyBorder="1" applyAlignment="1">
      <alignment horizontal="right"/>
    </xf>
    <xf numFmtId="2" fontId="9" fillId="0" borderId="7" xfId="0" applyNumberFormat="1" applyFont="1" applyBorder="1" applyAlignment="1">
      <alignment horizontal="center"/>
    </xf>
    <xf numFmtId="0" fontId="0" fillId="0" borderId="0" xfId="0" applyBorder="1" applyAlignment="1">
      <alignment horizontal="center"/>
    </xf>
    <xf numFmtId="0" fontId="1" fillId="0" borderId="0" xfId="0" applyFont="1" applyBorder="1" applyAlignment="1">
      <alignment horizontal="right"/>
    </xf>
    <xf numFmtId="2" fontId="9" fillId="0" borderId="0" xfId="0" applyNumberFormat="1" applyFont="1" applyBorder="1" applyAlignment="1">
      <alignment horizontal="center"/>
    </xf>
    <xf numFmtId="0" fontId="0" fillId="0" borderId="12" xfId="0" applyBorder="1" applyAlignment="1">
      <alignment horizontal="center"/>
    </xf>
    <xf numFmtId="0" fontId="1" fillId="0" borderId="12" xfId="0" applyFont="1" applyBorder="1" applyAlignment="1">
      <alignment horizontal="right"/>
    </xf>
    <xf numFmtId="2" fontId="9" fillId="0" borderId="12" xfId="0" applyNumberFormat="1" applyFont="1" applyBorder="1" applyAlignment="1">
      <alignment horizontal="center"/>
    </xf>
    <xf numFmtId="164" fontId="9" fillId="0" borderId="7" xfId="0" applyNumberFormat="1" applyFont="1" applyBorder="1" applyAlignment="1">
      <alignment horizontal="center"/>
    </xf>
    <xf numFmtId="164" fontId="9" fillId="0" borderId="0" xfId="0" applyNumberFormat="1" applyFont="1" applyBorder="1" applyAlignment="1">
      <alignment horizontal="center"/>
    </xf>
    <xf numFmtId="0" fontId="1" fillId="0" borderId="12" xfId="1" applyBorder="1" applyAlignment="1">
      <alignment horizontal="right"/>
    </xf>
    <xf numFmtId="0" fontId="1" fillId="0" borderId="0" xfId="1" applyBorder="1" applyAlignment="1">
      <alignment horizontal="right"/>
    </xf>
    <xf numFmtId="164" fontId="9" fillId="0" borderId="0" xfId="1" applyNumberFormat="1" applyFont="1" applyBorder="1" applyAlignment="1">
      <alignment horizontal="center"/>
    </xf>
    <xf numFmtId="0" fontId="0" fillId="0" borderId="15" xfId="0" applyBorder="1" applyAlignment="1">
      <alignment horizontal="center"/>
    </xf>
    <xf numFmtId="0" fontId="1" fillId="0" borderId="15" xfId="1" applyBorder="1" applyAlignment="1">
      <alignment horizontal="center"/>
    </xf>
    <xf numFmtId="0" fontId="1" fillId="0" borderId="15" xfId="1" applyBorder="1"/>
    <xf numFmtId="0" fontId="1" fillId="0" borderId="7" xfId="1" applyBorder="1" applyAlignment="1">
      <alignment horizontal="right"/>
    </xf>
    <xf numFmtId="2" fontId="9" fillId="0" borderId="0" xfId="1" applyNumberFormat="1" applyFont="1" applyBorder="1" applyAlignment="1">
      <alignment horizontal="center"/>
    </xf>
    <xf numFmtId="0" fontId="1" fillId="0" borderId="12" xfId="1" applyBorder="1" applyAlignment="1">
      <alignment horizontal="center"/>
    </xf>
    <xf numFmtId="0" fontId="1" fillId="0" borderId="0" xfId="0" applyFont="1" applyBorder="1" applyAlignment="1">
      <alignment horizontal="left"/>
    </xf>
    <xf numFmtId="0" fontId="9" fillId="0" borderId="0" xfId="0" applyFont="1" applyBorder="1" applyAlignment="1">
      <alignment horizontal="center"/>
    </xf>
    <xf numFmtId="0" fontId="0" fillId="0" borderId="14" xfId="0" applyBorder="1"/>
    <xf numFmtId="0" fontId="1" fillId="0" borderId="15" xfId="0" applyFont="1" applyBorder="1" applyAlignment="1">
      <alignment horizontal="right"/>
    </xf>
    <xf numFmtId="0" fontId="0" fillId="0" borderId="15" xfId="0" applyBorder="1"/>
    <xf numFmtId="164" fontId="9" fillId="0" borderId="7" xfId="1" applyNumberFormat="1" applyFont="1" applyBorder="1" applyAlignment="1">
      <alignment horizontal="center"/>
    </xf>
    <xf numFmtId="0" fontId="0" fillId="0" borderId="16" xfId="0" applyBorder="1"/>
    <xf numFmtId="0" fontId="0" fillId="0" borderId="4" xfId="0" applyBorder="1"/>
    <xf numFmtId="0" fontId="1" fillId="0" borderId="4" xfId="1" applyBorder="1" applyAlignment="1">
      <alignment horizontal="right"/>
    </xf>
    <xf numFmtId="0" fontId="8" fillId="0" borderId="4" xfId="1" applyFont="1" applyBorder="1" applyAlignment="1">
      <alignment horizontal="center"/>
    </xf>
    <xf numFmtId="0" fontId="1" fillId="0" borderId="4" xfId="0" applyFont="1" applyBorder="1" applyAlignment="1">
      <alignment horizontal="left"/>
    </xf>
    <xf numFmtId="0" fontId="0" fillId="0" borderId="4" xfId="0" applyBorder="1" applyAlignment="1">
      <alignment horizontal="center"/>
    </xf>
    <xf numFmtId="0" fontId="0" fillId="0" borderId="18" xfId="0" applyBorder="1"/>
    <xf numFmtId="0" fontId="5" fillId="0" borderId="19" xfId="0" applyFont="1" applyBorder="1" applyAlignment="1">
      <alignment horizontal="center"/>
    </xf>
    <xf numFmtId="0" fontId="0" fillId="0" borderId="20" xfId="0" applyBorder="1"/>
    <xf numFmtId="0" fontId="0" fillId="0" borderId="22" xfId="0" applyBorder="1" applyAlignment="1">
      <alignment horizontal="center"/>
    </xf>
    <xf numFmtId="0" fontId="1" fillId="0" borderId="5" xfId="0" applyFont="1" applyBorder="1" applyAlignment="1">
      <alignment horizontal="right"/>
    </xf>
    <xf numFmtId="2" fontId="9" fillId="0" borderId="5" xfId="1" applyNumberFormat="1" applyFont="1" applyBorder="1" applyAlignment="1">
      <alignment horizontal="center"/>
    </xf>
    <xf numFmtId="0" fontId="1" fillId="0" borderId="23" xfId="1" applyBorder="1"/>
    <xf numFmtId="0" fontId="1" fillId="0" borderId="4" xfId="0" applyFont="1" applyBorder="1" applyAlignment="1">
      <alignment horizontal="right"/>
    </xf>
    <xf numFmtId="164" fontId="0" fillId="0" borderId="4" xfId="0" applyNumberFormat="1" applyBorder="1" applyAlignment="1">
      <alignment horizontal="center"/>
    </xf>
    <xf numFmtId="0" fontId="1" fillId="0" borderId="4" xfId="1" applyBorder="1" applyAlignment="1">
      <alignment horizontal="center"/>
    </xf>
    <xf numFmtId="0" fontId="5" fillId="0" borderId="17" xfId="0" applyFont="1" applyBorder="1" applyAlignment="1">
      <alignment horizontal="center"/>
    </xf>
    <xf numFmtId="0" fontId="0" fillId="0" borderId="24" xfId="0" applyBorder="1"/>
    <xf numFmtId="0" fontId="0" fillId="0" borderId="26" xfId="0" applyBorder="1"/>
    <xf numFmtId="0" fontId="0" fillId="0" borderId="28" xfId="0" applyBorder="1"/>
    <xf numFmtId="0" fontId="1" fillId="0" borderId="29" xfId="0" applyFont="1" applyBorder="1" applyAlignment="1">
      <alignment horizontal="right"/>
    </xf>
    <xf numFmtId="0" fontId="1" fillId="0" borderId="12" xfId="1" applyBorder="1"/>
    <xf numFmtId="0" fontId="0" fillId="0" borderId="16" xfId="0" applyBorder="1" applyAlignment="1">
      <alignment horizontal="center"/>
    </xf>
    <xf numFmtId="0" fontId="0" fillId="0" borderId="20" xfId="0"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2" fontId="9" fillId="0" borderId="25" xfId="1" applyNumberFormat="1" applyFont="1" applyBorder="1" applyAlignment="1">
      <alignment horizontal="center"/>
    </xf>
    <xf numFmtId="0" fontId="9" fillId="0" borderId="25" xfId="0" applyFont="1" applyBorder="1"/>
    <xf numFmtId="0" fontId="0" fillId="0" borderId="5" xfId="0" applyBorder="1" applyAlignment="1">
      <alignment horizontal="center"/>
    </xf>
    <xf numFmtId="2" fontId="9" fillId="0" borderId="5" xfId="0" applyNumberFormat="1" applyFont="1" applyBorder="1" applyAlignment="1">
      <alignment horizontal="center"/>
    </xf>
    <xf numFmtId="0" fontId="1" fillId="0" borderId="4" xfId="1" applyBorder="1"/>
    <xf numFmtId="0" fontId="5" fillId="0" borderId="27" xfId="0" applyFont="1" applyBorder="1" applyAlignment="1">
      <alignment horizontal="center"/>
    </xf>
    <xf numFmtId="0" fontId="9" fillId="0" borderId="23" xfId="1" applyFont="1" applyBorder="1"/>
    <xf numFmtId="0" fontId="1" fillId="9" borderId="1" xfId="0" applyFont="1" applyFill="1" applyBorder="1" applyAlignment="1">
      <alignment horizontal="right"/>
    </xf>
    <xf numFmtId="164" fontId="0" fillId="9" borderId="3" xfId="0" applyNumberFormat="1" applyFill="1" applyBorder="1" applyAlignment="1">
      <alignment horizontal="center"/>
    </xf>
    <xf numFmtId="164" fontId="0" fillId="9" borderId="1" xfId="0" applyNumberFormat="1" applyFill="1" applyBorder="1" applyAlignment="1">
      <alignment horizontal="center"/>
    </xf>
    <xf numFmtId="0" fontId="1" fillId="9" borderId="1" xfId="0" applyFont="1" applyFill="1" applyBorder="1" applyAlignment="1">
      <alignment horizontal="center"/>
    </xf>
    <xf numFmtId="164" fontId="0" fillId="9" borderId="2" xfId="0" applyNumberFormat="1" applyFill="1" applyBorder="1" applyAlignment="1">
      <alignment horizontal="center"/>
    </xf>
    <xf numFmtId="2" fontId="0" fillId="9" borderId="1" xfId="0" applyNumberFormat="1" applyFill="1" applyBorder="1" applyAlignment="1">
      <alignment horizontal="center"/>
    </xf>
    <xf numFmtId="2" fontId="9" fillId="0" borderId="21" xfId="1" applyNumberFormat="1" applyFont="1" applyBorder="1" applyAlignment="1">
      <alignment horizontal="center"/>
    </xf>
    <xf numFmtId="0" fontId="9" fillId="0" borderId="25" xfId="0" applyFont="1" applyBorder="1" applyAlignment="1">
      <alignment horizontal="center"/>
    </xf>
    <xf numFmtId="2" fontId="9" fillId="0" borderId="27" xfId="1" applyNumberFormat="1" applyFont="1" applyBorder="1" applyAlignment="1">
      <alignment horizontal="center"/>
    </xf>
    <xf numFmtId="0" fontId="9" fillId="0" borderId="7" xfId="0" applyFont="1" applyBorder="1" applyAlignment="1">
      <alignment horizontal="center"/>
    </xf>
    <xf numFmtId="164" fontId="10" fillId="0" borderId="12" xfId="1" applyNumberFormat="1" applyFont="1" applyBorder="1" applyAlignment="1">
      <alignment horizontal="center"/>
    </xf>
    <xf numFmtId="0" fontId="10" fillId="0" borderId="12" xfId="0" applyFont="1" applyBorder="1" applyAlignment="1">
      <alignment horizontal="center"/>
    </xf>
    <xf numFmtId="2" fontId="10" fillId="0" borderId="27" xfId="1" applyNumberFormat="1" applyFont="1" applyBorder="1" applyAlignment="1">
      <alignment horizontal="center"/>
    </xf>
    <xf numFmtId="164" fontId="10" fillId="0" borderId="0" xfId="1" applyNumberFormat="1" applyFont="1" applyBorder="1" applyAlignment="1">
      <alignment horizontal="center"/>
    </xf>
    <xf numFmtId="0" fontId="10" fillId="0" borderId="0" xfId="0" applyFont="1" applyBorder="1" applyAlignment="1">
      <alignment horizontal="center"/>
    </xf>
    <xf numFmtId="2" fontId="10" fillId="0" borderId="25" xfId="1" applyNumberFormat="1" applyFont="1" applyBorder="1" applyAlignment="1">
      <alignment horizontal="center"/>
    </xf>
    <xf numFmtId="2" fontId="10" fillId="0" borderId="5" xfId="0" applyNumberFormat="1" applyFont="1" applyBorder="1" applyAlignment="1">
      <alignment horizontal="center"/>
    </xf>
    <xf numFmtId="0" fontId="4" fillId="0" borderId="0" xfId="1" applyFont="1" applyBorder="1" applyAlignment="1">
      <alignment horizontal="right"/>
    </xf>
    <xf numFmtId="0" fontId="4" fillId="0" borderId="5" xfId="0" applyFont="1" applyBorder="1" applyAlignment="1">
      <alignment horizontal="right"/>
    </xf>
    <xf numFmtId="0" fontId="4" fillId="0" borderId="12" xfId="1" applyFont="1" applyBorder="1" applyAlignment="1">
      <alignment horizontal="right"/>
    </xf>
    <xf numFmtId="0" fontId="4" fillId="0" borderId="29" xfId="0" applyFont="1" applyBorder="1" applyAlignment="1">
      <alignment horizontal="right"/>
    </xf>
    <xf numFmtId="2" fontId="10" fillId="0" borderId="29" xfId="0" applyNumberFormat="1" applyFont="1" applyBorder="1" applyAlignment="1">
      <alignment horizontal="center"/>
    </xf>
    <xf numFmtId="0" fontId="10" fillId="0" borderId="30" xfId="1" applyFont="1" applyBorder="1"/>
    <xf numFmtId="0" fontId="4" fillId="0" borderId="16" xfId="0" applyFont="1" applyBorder="1"/>
    <xf numFmtId="0" fontId="4" fillId="0" borderId="16" xfId="0" applyFont="1" applyBorder="1" applyAlignment="1">
      <alignment horizontal="right"/>
    </xf>
    <xf numFmtId="0" fontId="0" fillId="0" borderId="31" xfId="0" applyBorder="1" applyAlignment="1">
      <alignment horizontal="center"/>
    </xf>
    <xf numFmtId="164" fontId="0" fillId="5" borderId="6" xfId="0" applyNumberFormat="1" applyFill="1" applyBorder="1" applyAlignment="1">
      <alignment horizontal="center"/>
    </xf>
    <xf numFmtId="164" fontId="0" fillId="5" borderId="7" xfId="0" applyNumberFormat="1" applyFill="1" applyBorder="1" applyAlignment="1">
      <alignment horizontal="center"/>
    </xf>
    <xf numFmtId="164" fontId="0" fillId="5" borderId="8" xfId="0" applyNumberFormat="1" applyFill="1" applyBorder="1" applyAlignment="1">
      <alignment horizontal="center"/>
    </xf>
    <xf numFmtId="164" fontId="0" fillId="5" borderId="9" xfId="0" applyNumberFormat="1" applyFill="1" applyBorder="1" applyAlignment="1">
      <alignment horizontal="center"/>
    </xf>
    <xf numFmtId="164" fontId="0" fillId="5" borderId="0" xfId="0" applyNumberFormat="1" applyFill="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64" fontId="0" fillId="5" borderId="12" xfId="0" applyNumberFormat="1" applyFill="1" applyBorder="1" applyAlignment="1">
      <alignment horizontal="center"/>
    </xf>
    <xf numFmtId="164" fontId="0" fillId="5" borderId="13" xfId="0" applyNumberFormat="1" applyFill="1" applyBorder="1" applyAlignment="1">
      <alignment horizontal="center"/>
    </xf>
    <xf numFmtId="2" fontId="9" fillId="0" borderId="21" xfId="0" applyNumberFormat="1" applyFont="1" applyBorder="1" applyAlignment="1">
      <alignment horizontal="center"/>
    </xf>
    <xf numFmtId="2" fontId="9" fillId="0" borderId="25" xfId="0" applyNumberFormat="1" applyFont="1" applyBorder="1" applyAlignment="1">
      <alignment horizontal="center"/>
    </xf>
    <xf numFmtId="2" fontId="9" fillId="0" borderId="27" xfId="0" applyNumberFormat="1" applyFont="1" applyBorder="1" applyAlignment="1">
      <alignment horizontal="center"/>
    </xf>
    <xf numFmtId="0" fontId="1" fillId="0" borderId="14" xfId="1" applyBorder="1"/>
    <xf numFmtId="0" fontId="1" fillId="0" borderId="7" xfId="1" applyBorder="1" applyAlignment="1">
      <alignment horizontal="center"/>
    </xf>
    <xf numFmtId="0" fontId="1" fillId="0" borderId="0" xfId="1" applyBorder="1" applyAlignment="1">
      <alignment horizontal="center"/>
    </xf>
    <xf numFmtId="2" fontId="9" fillId="0" borderId="7" xfId="1" applyNumberFormat="1" applyFont="1" applyBorder="1" applyAlignment="1">
      <alignment horizontal="center"/>
    </xf>
    <xf numFmtId="0" fontId="1" fillId="0" borderId="16" xfId="1" applyBorder="1" applyAlignment="1">
      <alignment horizontal="center"/>
    </xf>
    <xf numFmtId="0" fontId="1" fillId="0" borderId="20" xfId="1" applyBorder="1" applyAlignment="1">
      <alignment horizontal="center"/>
    </xf>
    <xf numFmtId="0" fontId="1" fillId="0" borderId="24" xfId="1" applyBorder="1" applyAlignment="1">
      <alignment horizontal="center"/>
    </xf>
    <xf numFmtId="0" fontId="1" fillId="0" borderId="26" xfId="1" applyBorder="1" applyAlignment="1">
      <alignment horizontal="center"/>
    </xf>
    <xf numFmtId="0" fontId="1" fillId="0" borderId="28" xfId="1" applyBorder="1" applyAlignment="1">
      <alignment horizontal="center"/>
    </xf>
    <xf numFmtId="0" fontId="1" fillId="0" borderId="29" xfId="1" applyBorder="1" applyAlignment="1">
      <alignment horizontal="center"/>
    </xf>
    <xf numFmtId="0" fontId="1" fillId="0" borderId="17" xfId="1" applyBorder="1"/>
    <xf numFmtId="0" fontId="1" fillId="0" borderId="18" xfId="1" applyBorder="1" applyAlignment="1">
      <alignment horizontal="center"/>
    </xf>
    <xf numFmtId="0" fontId="1" fillId="0" borderId="22" xfId="1" applyBorder="1" applyAlignment="1">
      <alignment horizontal="center"/>
    </xf>
    <xf numFmtId="0" fontId="1" fillId="0" borderId="5" xfId="1" applyBorder="1" applyAlignment="1">
      <alignment horizontal="center"/>
    </xf>
    <xf numFmtId="0" fontId="1" fillId="0" borderId="16" xfId="1" applyBorder="1"/>
    <xf numFmtId="0" fontId="5" fillId="0" borderId="17" xfId="0" applyFont="1" applyBorder="1" applyAlignment="1">
      <alignment horizontal="left"/>
    </xf>
    <xf numFmtId="0" fontId="1" fillId="0" borderId="20" xfId="1" applyBorder="1"/>
    <xf numFmtId="0" fontId="1" fillId="0" borderId="24" xfId="1" applyBorder="1"/>
    <xf numFmtId="0" fontId="1" fillId="0" borderId="26" xfId="1" applyBorder="1"/>
    <xf numFmtId="0" fontId="1" fillId="0" borderId="28" xfId="1" applyBorder="1"/>
    <xf numFmtId="0" fontId="1" fillId="0" borderId="17" xfId="1" applyBorder="1" applyAlignment="1">
      <alignment horizontal="center"/>
    </xf>
    <xf numFmtId="0" fontId="1" fillId="0" borderId="18" xfId="1" applyBorder="1"/>
    <xf numFmtId="0" fontId="9" fillId="0" borderId="25" xfId="1" applyFont="1" applyBorder="1"/>
    <xf numFmtId="0" fontId="1" fillId="11" borderId="0" xfId="1" applyFill="1"/>
    <xf numFmtId="0" fontId="1" fillId="11" borderId="0" xfId="1" applyFill="1" applyAlignment="1">
      <alignment horizontal="center"/>
    </xf>
    <xf numFmtId="0" fontId="1" fillId="11" borderId="0" xfId="1" applyFill="1" applyAlignment="1">
      <alignment horizontal="left"/>
    </xf>
    <xf numFmtId="0" fontId="4" fillId="0" borderId="0" xfId="0" applyFont="1" applyFill="1"/>
    <xf numFmtId="0" fontId="8" fillId="0" borderId="2" xfId="0" applyFont="1" applyBorder="1" applyAlignment="1">
      <alignment horizontal="left"/>
    </xf>
    <xf numFmtId="0" fontId="0" fillId="12" borderId="0" xfId="0" applyFill="1"/>
    <xf numFmtId="0" fontId="6" fillId="12" borderId="0" xfId="1" applyFont="1" applyFill="1" applyAlignment="1">
      <alignment horizontal="center"/>
    </xf>
    <xf numFmtId="0" fontId="3" fillId="12" borderId="0" xfId="1" applyFont="1" applyFill="1" applyAlignment="1">
      <alignment horizontal="center"/>
    </xf>
    <xf numFmtId="0" fontId="7" fillId="12" borderId="0" xfId="1" applyFont="1" applyFill="1" applyAlignment="1">
      <alignment horizontal="center"/>
    </xf>
    <xf numFmtId="0" fontId="1" fillId="12" borderId="0" xfId="0" applyFont="1" applyFill="1" applyAlignment="1">
      <alignment horizontal="center" wrapText="1"/>
    </xf>
    <xf numFmtId="0" fontId="6" fillId="12" borderId="0" xfId="0" applyFont="1" applyFill="1" applyAlignment="1">
      <alignment horizontal="center"/>
    </xf>
    <xf numFmtId="0" fontId="3" fillId="12" borderId="0" xfId="0" applyFont="1" applyFill="1" applyAlignment="1">
      <alignment horizontal="center"/>
    </xf>
    <xf numFmtId="0" fontId="6" fillId="2" borderId="0" xfId="1" applyFont="1" applyFill="1" applyAlignment="1">
      <alignment horizontal="center"/>
    </xf>
    <xf numFmtId="0" fontId="11" fillId="12" borderId="0" xfId="0" applyFont="1" applyFill="1" applyAlignment="1">
      <alignment horizontal="center"/>
    </xf>
    <xf numFmtId="0" fontId="0" fillId="0" borderId="1" xfId="0" applyBorder="1" applyAlignment="1">
      <alignment horizontal="center"/>
    </xf>
    <xf numFmtId="0" fontId="11" fillId="12" borderId="0" xfId="1" applyFont="1" applyFill="1" applyAlignment="1">
      <alignment horizontal="center"/>
    </xf>
    <xf numFmtId="164" fontId="11" fillId="12" borderId="0" xfId="0" applyNumberFormat="1" applyFont="1" applyFill="1" applyAlignment="1">
      <alignment horizontal="center"/>
    </xf>
    <xf numFmtId="0" fontId="4" fillId="0" borderId="0" xfId="0" applyFont="1"/>
    <xf numFmtId="0" fontId="12" fillId="0" borderId="12" xfId="0" applyFont="1" applyBorder="1"/>
    <xf numFmtId="1" fontId="11" fillId="4" borderId="6" xfId="0" applyNumberFormat="1" applyFont="1" applyFill="1" applyBorder="1" applyAlignment="1">
      <alignment horizontal="center"/>
    </xf>
    <xf numFmtId="1" fontId="11" fillId="4" borderId="7" xfId="0" applyNumberFormat="1" applyFont="1" applyFill="1" applyBorder="1" applyAlignment="1">
      <alignment horizontal="center"/>
    </xf>
    <xf numFmtId="1" fontId="11" fillId="4" borderId="8" xfId="0" applyNumberFormat="1" applyFont="1" applyFill="1" applyBorder="1" applyAlignment="1">
      <alignment horizontal="center"/>
    </xf>
    <xf numFmtId="1" fontId="11" fillId="4" borderId="9" xfId="0" applyNumberFormat="1" applyFont="1" applyFill="1" applyBorder="1" applyAlignment="1">
      <alignment horizontal="center"/>
    </xf>
    <xf numFmtId="1" fontId="11" fillId="4" borderId="0" xfId="0" applyNumberFormat="1" applyFont="1" applyFill="1" applyBorder="1" applyAlignment="1">
      <alignment horizontal="center"/>
    </xf>
    <xf numFmtId="1" fontId="11" fillId="4" borderId="10" xfId="0" applyNumberFormat="1" applyFont="1" applyFill="1" applyBorder="1" applyAlignment="1">
      <alignment horizontal="center"/>
    </xf>
    <xf numFmtId="1" fontId="11" fillId="4" borderId="11" xfId="0" applyNumberFormat="1" applyFont="1" applyFill="1" applyBorder="1" applyAlignment="1">
      <alignment horizontal="center"/>
    </xf>
    <xf numFmtId="1" fontId="11" fillId="4" borderId="12" xfId="0" applyNumberFormat="1" applyFont="1" applyFill="1" applyBorder="1" applyAlignment="1">
      <alignment horizontal="center"/>
    </xf>
    <xf numFmtId="1" fontId="11" fillId="4" borderId="13" xfId="0" applyNumberFormat="1" applyFont="1" applyFill="1" applyBorder="1" applyAlignment="1">
      <alignment horizontal="center"/>
    </xf>
    <xf numFmtId="2" fontId="7" fillId="3" borderId="0" xfId="0" applyNumberFormat="1" applyFont="1" applyFill="1"/>
    <xf numFmtId="2" fontId="7" fillId="3" borderId="0" xfId="1" applyNumberFormat="1" applyFont="1" applyFill="1"/>
    <xf numFmtId="0" fontId="4" fillId="0" borderId="0" xfId="0" applyFont="1" applyBorder="1" applyAlignment="1">
      <alignment horizontal="left"/>
    </xf>
    <xf numFmtId="0" fontId="1" fillId="9" borderId="0" xfId="0" applyFont="1" applyFill="1" applyAlignment="1">
      <alignment horizontal="right"/>
    </xf>
    <xf numFmtId="164" fontId="0" fillId="9" borderId="0" xfId="0" applyNumberFormat="1" applyFill="1" applyAlignment="1">
      <alignment horizontal="center"/>
    </xf>
    <xf numFmtId="2" fontId="0" fillId="9" borderId="0" xfId="0" applyNumberFormat="1" applyFill="1" applyAlignment="1">
      <alignment horizontal="center"/>
    </xf>
    <xf numFmtId="0" fontId="1" fillId="0" borderId="0" xfId="1" applyFont="1" applyAlignment="1">
      <alignment horizontal="left"/>
    </xf>
    <xf numFmtId="0" fontId="1" fillId="0" borderId="0" xfId="2"/>
    <xf numFmtId="0" fontId="16" fillId="0" borderId="40" xfId="2" applyFont="1" applyBorder="1" applyAlignment="1">
      <alignment horizontal="center" wrapText="1"/>
    </xf>
    <xf numFmtId="0" fontId="16" fillId="0" borderId="41" xfId="2" applyFont="1" applyBorder="1" applyAlignment="1">
      <alignment horizontal="center" wrapText="1"/>
    </xf>
    <xf numFmtId="165" fontId="16" fillId="0" borderId="42" xfId="2" applyNumberFormat="1" applyFont="1" applyBorder="1" applyAlignment="1">
      <alignment horizontal="right" vertical="center"/>
    </xf>
    <xf numFmtId="165" fontId="16" fillId="0" borderId="43" xfId="2" applyNumberFormat="1" applyFont="1" applyBorder="1" applyAlignment="1">
      <alignment horizontal="right" vertical="center"/>
    </xf>
    <xf numFmtId="166" fontId="16" fillId="0" borderId="43" xfId="2" applyNumberFormat="1" applyFont="1" applyBorder="1" applyAlignment="1">
      <alignment horizontal="right" vertical="center"/>
    </xf>
    <xf numFmtId="167" fontId="16" fillId="0" borderId="43" xfId="2" applyNumberFormat="1" applyFont="1" applyBorder="1" applyAlignment="1">
      <alignment horizontal="right" vertical="center"/>
    </xf>
    <xf numFmtId="165" fontId="16" fillId="0" borderId="44" xfId="2" applyNumberFormat="1" applyFont="1" applyBorder="1" applyAlignment="1">
      <alignment horizontal="right" vertical="center"/>
    </xf>
    <xf numFmtId="0" fontId="16" fillId="0" borderId="37" xfId="2" applyFont="1" applyBorder="1" applyAlignment="1">
      <alignment horizontal="left" vertical="top" wrapText="1"/>
    </xf>
    <xf numFmtId="0" fontId="16" fillId="0" borderId="38" xfId="2" applyFont="1" applyBorder="1" applyAlignment="1">
      <alignment horizontal="left" vertical="top" wrapText="1"/>
    </xf>
    <xf numFmtId="165" fontId="16" fillId="0" borderId="45" xfId="2" applyNumberFormat="1" applyFont="1" applyBorder="1" applyAlignment="1">
      <alignment horizontal="right" vertical="center"/>
    </xf>
    <xf numFmtId="165" fontId="16" fillId="0" borderId="46" xfId="2" applyNumberFormat="1" applyFont="1" applyBorder="1" applyAlignment="1">
      <alignment horizontal="right" vertical="center"/>
    </xf>
    <xf numFmtId="166" fontId="16" fillId="0" borderId="46" xfId="2" applyNumberFormat="1" applyFont="1" applyBorder="1" applyAlignment="1">
      <alignment horizontal="right" vertical="center"/>
    </xf>
    <xf numFmtId="167" fontId="16" fillId="0" borderId="46" xfId="2" applyNumberFormat="1" applyFont="1" applyBorder="1" applyAlignment="1">
      <alignment horizontal="right" vertical="center"/>
    </xf>
    <xf numFmtId="165" fontId="16" fillId="0" borderId="47" xfId="2" applyNumberFormat="1" applyFont="1" applyBorder="1" applyAlignment="1">
      <alignment horizontal="right" vertical="center"/>
    </xf>
    <xf numFmtId="0" fontId="1" fillId="0" borderId="0" xfId="3"/>
    <xf numFmtId="0" fontId="16" fillId="0" borderId="40" xfId="3" applyFont="1" applyBorder="1" applyAlignment="1">
      <alignment horizontal="center" wrapText="1"/>
    </xf>
    <xf numFmtId="0" fontId="16" fillId="0" borderId="41" xfId="3" applyFont="1" applyBorder="1" applyAlignment="1">
      <alignment horizontal="center" wrapText="1"/>
    </xf>
    <xf numFmtId="165" fontId="16" fillId="0" borderId="42" xfId="3" applyNumberFormat="1" applyFont="1" applyBorder="1" applyAlignment="1">
      <alignment horizontal="right" vertical="center"/>
    </xf>
    <xf numFmtId="165" fontId="16" fillId="0" borderId="43" xfId="3" applyNumberFormat="1" applyFont="1" applyBorder="1" applyAlignment="1">
      <alignment horizontal="right" vertical="center"/>
    </xf>
    <xf numFmtId="166" fontId="16" fillId="0" borderId="43" xfId="3" applyNumberFormat="1" applyFont="1" applyBorder="1" applyAlignment="1">
      <alignment horizontal="right" vertical="center"/>
    </xf>
    <xf numFmtId="167" fontId="16" fillId="0" borderId="43" xfId="3" applyNumberFormat="1" applyFont="1" applyBorder="1" applyAlignment="1">
      <alignment horizontal="right" vertical="center"/>
    </xf>
    <xf numFmtId="165" fontId="16" fillId="0" borderId="44" xfId="3" applyNumberFormat="1" applyFont="1" applyBorder="1" applyAlignment="1">
      <alignment horizontal="right" vertical="center"/>
    </xf>
    <xf numFmtId="0" fontId="16" fillId="0" borderId="48" xfId="3" applyFont="1" applyBorder="1" applyAlignment="1">
      <alignment horizontal="left" vertical="top" wrapText="1"/>
    </xf>
    <xf numFmtId="0" fontId="16" fillId="0" borderId="49" xfId="3" applyFont="1" applyBorder="1" applyAlignment="1">
      <alignment horizontal="left" vertical="top" wrapText="1"/>
    </xf>
    <xf numFmtId="165" fontId="16" fillId="0" borderId="50" xfId="3" applyNumberFormat="1" applyFont="1" applyBorder="1" applyAlignment="1">
      <alignment horizontal="right" vertical="center"/>
    </xf>
    <xf numFmtId="165" fontId="16" fillId="0" borderId="51" xfId="3" applyNumberFormat="1" applyFont="1" applyBorder="1" applyAlignment="1">
      <alignment horizontal="right" vertical="center"/>
    </xf>
    <xf numFmtId="166" fontId="16" fillId="0" borderId="51" xfId="3" applyNumberFormat="1" applyFont="1" applyBorder="1" applyAlignment="1">
      <alignment horizontal="right" vertical="center"/>
    </xf>
    <xf numFmtId="167" fontId="16" fillId="0" borderId="51" xfId="3" applyNumberFormat="1" applyFont="1" applyBorder="1" applyAlignment="1">
      <alignment horizontal="right" vertical="center"/>
    </xf>
    <xf numFmtId="165" fontId="16" fillId="0" borderId="52" xfId="3" applyNumberFormat="1" applyFont="1" applyBorder="1" applyAlignment="1">
      <alignment horizontal="right" vertical="center"/>
    </xf>
    <xf numFmtId="0" fontId="16" fillId="0" borderId="37" xfId="3" applyFont="1" applyBorder="1" applyAlignment="1">
      <alignment horizontal="left" vertical="top" wrapText="1"/>
    </xf>
    <xf numFmtId="0" fontId="16" fillId="0" borderId="38" xfId="3" applyFont="1" applyBorder="1" applyAlignment="1">
      <alignment horizontal="left" vertical="top" wrapText="1"/>
    </xf>
    <xf numFmtId="165" fontId="16" fillId="0" borderId="45" xfId="3" applyNumberFormat="1" applyFont="1" applyBorder="1" applyAlignment="1">
      <alignment horizontal="right" vertical="center"/>
    </xf>
    <xf numFmtId="165" fontId="16" fillId="0" borderId="46" xfId="3" applyNumberFormat="1" applyFont="1" applyBorder="1" applyAlignment="1">
      <alignment horizontal="right" vertical="center"/>
    </xf>
    <xf numFmtId="166" fontId="16" fillId="0" borderId="46" xfId="3" applyNumberFormat="1" applyFont="1" applyBorder="1" applyAlignment="1">
      <alignment horizontal="right" vertical="center"/>
    </xf>
    <xf numFmtId="167" fontId="16" fillId="0" borderId="46" xfId="3" applyNumberFormat="1" applyFont="1" applyBorder="1" applyAlignment="1">
      <alignment horizontal="right" vertical="center"/>
    </xf>
    <xf numFmtId="165" fontId="16" fillId="0" borderId="47" xfId="3" applyNumberFormat="1" applyFont="1" applyBorder="1" applyAlignment="1">
      <alignment horizontal="right" vertical="center"/>
    </xf>
    <xf numFmtId="0" fontId="16" fillId="0" borderId="40" xfId="2" applyFont="1" applyBorder="1" applyAlignment="1">
      <alignment horizontal="center" wrapText="1"/>
    </xf>
    <xf numFmtId="0" fontId="16" fillId="0" borderId="33" xfId="2" applyFont="1" applyBorder="1" applyAlignment="1">
      <alignment horizontal="left" vertical="top" wrapText="1"/>
    </xf>
    <xf numFmtId="0" fontId="16" fillId="0" borderId="40" xfId="3" applyFont="1" applyBorder="1" applyAlignment="1">
      <alignment horizontal="center" wrapText="1"/>
    </xf>
    <xf numFmtId="168" fontId="16" fillId="0" borderId="46" xfId="3" applyNumberFormat="1" applyFont="1" applyBorder="1" applyAlignment="1">
      <alignment horizontal="right" vertical="center"/>
    </xf>
    <xf numFmtId="0" fontId="16" fillId="0" borderId="32" xfId="2" applyFont="1" applyBorder="1" applyAlignment="1">
      <alignment horizontal="left" vertical="top" wrapText="1"/>
    </xf>
    <xf numFmtId="0" fontId="16" fillId="0" borderId="33" xfId="2" applyFont="1" applyBorder="1" applyAlignment="1">
      <alignment horizontal="left" vertical="top" wrapText="1"/>
    </xf>
    <xf numFmtId="0" fontId="16" fillId="0" borderId="0" xfId="2" applyFont="1" applyBorder="1" applyAlignment="1">
      <alignment horizontal="left" vertical="top" wrapText="1"/>
    </xf>
    <xf numFmtId="0" fontId="4" fillId="0" borderId="7" xfId="0" applyFont="1" applyBorder="1" applyAlignment="1">
      <alignment horizontal="left"/>
    </xf>
    <xf numFmtId="0" fontId="15" fillId="0" borderId="0" xfId="2" applyFont="1" applyBorder="1" applyAlignment="1">
      <alignment horizontal="center" vertical="center" wrapText="1"/>
    </xf>
    <xf numFmtId="0" fontId="16" fillId="0" borderId="32" xfId="2" applyFont="1" applyBorder="1" applyAlignment="1">
      <alignment horizontal="left" wrapText="1"/>
    </xf>
    <xf numFmtId="0" fontId="16" fillId="0" borderId="33" xfId="2" applyFont="1" applyBorder="1" applyAlignment="1">
      <alignment horizontal="left" wrapText="1"/>
    </xf>
    <xf numFmtId="0" fontId="16" fillId="0" borderId="37" xfId="2" applyFont="1" applyBorder="1" applyAlignment="1">
      <alignment horizontal="left" wrapText="1"/>
    </xf>
    <xf numFmtId="0" fontId="16" fillId="0" borderId="38" xfId="2" applyFont="1" applyBorder="1" applyAlignment="1">
      <alignment horizontal="left" wrapText="1"/>
    </xf>
    <xf numFmtId="0" fontId="16" fillId="0" borderId="34" xfId="2" applyFont="1" applyBorder="1" applyAlignment="1">
      <alignment horizontal="center" wrapText="1"/>
    </xf>
    <xf numFmtId="0" fontId="16" fillId="0" borderId="39" xfId="2" applyFont="1" applyBorder="1" applyAlignment="1">
      <alignment horizontal="center" wrapText="1"/>
    </xf>
    <xf numFmtId="0" fontId="16" fillId="0" borderId="35" xfId="2" applyFont="1" applyBorder="1" applyAlignment="1">
      <alignment horizontal="center" wrapText="1"/>
    </xf>
    <xf numFmtId="0" fontId="16" fillId="0" borderId="40" xfId="2" applyFont="1" applyBorder="1" applyAlignment="1">
      <alignment horizontal="center" wrapText="1"/>
    </xf>
    <xf numFmtId="0" fontId="16" fillId="0" borderId="36" xfId="2" applyFont="1" applyBorder="1" applyAlignment="1">
      <alignment horizontal="center" wrapText="1"/>
    </xf>
    <xf numFmtId="0" fontId="16" fillId="0" borderId="32" xfId="3" applyFont="1" applyBorder="1" applyAlignment="1">
      <alignment horizontal="left" vertical="top" wrapText="1"/>
    </xf>
    <xf numFmtId="0" fontId="16" fillId="0" borderId="33" xfId="3" applyFont="1" applyBorder="1" applyAlignment="1">
      <alignment horizontal="left" vertical="top" wrapText="1"/>
    </xf>
    <xf numFmtId="0" fontId="16" fillId="0" borderId="0" xfId="3" applyFont="1" applyBorder="1" applyAlignment="1">
      <alignment horizontal="left" vertical="top" wrapText="1"/>
    </xf>
    <xf numFmtId="0" fontId="1" fillId="9" borderId="4" xfId="0" applyFont="1" applyFill="1" applyBorder="1" applyAlignment="1">
      <alignment horizontal="center"/>
    </xf>
    <xf numFmtId="0" fontId="0" fillId="9" borderId="17" xfId="0" applyFill="1" applyBorder="1" applyAlignment="1">
      <alignment horizontal="center"/>
    </xf>
    <xf numFmtId="0" fontId="15" fillId="0" borderId="0" xfId="3" applyFont="1" applyBorder="1" applyAlignment="1">
      <alignment horizontal="center" vertical="center" wrapText="1"/>
    </xf>
    <xf numFmtId="0" fontId="16" fillId="0" borderId="32" xfId="3" applyFont="1" applyBorder="1" applyAlignment="1">
      <alignment horizontal="left" wrapText="1"/>
    </xf>
    <xf numFmtId="0" fontId="16" fillId="0" borderId="33" xfId="3" applyFont="1" applyBorder="1" applyAlignment="1">
      <alignment horizontal="left" wrapText="1"/>
    </xf>
    <xf numFmtId="0" fontId="16" fillId="0" borderId="37" xfId="3" applyFont="1" applyBorder="1" applyAlignment="1">
      <alignment horizontal="left" wrapText="1"/>
    </xf>
    <xf numFmtId="0" fontId="16" fillId="0" borderId="38" xfId="3" applyFont="1" applyBorder="1" applyAlignment="1">
      <alignment horizontal="left" wrapText="1"/>
    </xf>
    <xf numFmtId="0" fontId="16" fillId="0" borderId="34" xfId="3" applyFont="1" applyBorder="1" applyAlignment="1">
      <alignment horizontal="center" wrapText="1"/>
    </xf>
    <xf numFmtId="0" fontId="16" fillId="0" borderId="39" xfId="3" applyFont="1" applyBorder="1" applyAlignment="1">
      <alignment horizontal="center" wrapText="1"/>
    </xf>
    <xf numFmtId="0" fontId="16" fillId="0" borderId="35" xfId="3" applyFont="1" applyBorder="1" applyAlignment="1">
      <alignment horizontal="center" wrapText="1"/>
    </xf>
    <xf numFmtId="0" fontId="16" fillId="0" borderId="40" xfId="3" applyFont="1" applyBorder="1" applyAlignment="1">
      <alignment horizontal="center" wrapText="1"/>
    </xf>
    <xf numFmtId="0" fontId="16" fillId="0" borderId="36" xfId="3" applyFont="1" applyBorder="1" applyAlignment="1">
      <alignment horizontal="center" wrapText="1"/>
    </xf>
  </cellXfs>
  <cellStyles count="4">
    <cellStyle name="Normal" xfId="0" builtinId="0"/>
    <cellStyle name="Normal 2" xfId="1"/>
    <cellStyle name="Normal_1-way reliability" xfId="2"/>
    <cellStyle name="Normal_2-way reliability" xfId="3"/>
  </cellStyles>
  <dxfs count="0"/>
  <tableStyles count="0" defaultTableStyle="TableStyleMedium2" defaultPivotStyle="PivotStyleLight16"/>
  <colors>
    <mruColors>
      <color rgb="FFC0C0C0"/>
      <color rgb="FF0000FF"/>
      <color rgb="FF800080"/>
      <color rgb="FF969696"/>
      <color rgb="FFFFFF99"/>
      <color rgb="FFCC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6"/>
  <sheetViews>
    <sheetView tabSelected="1" zoomScale="70" zoomScaleNormal="70" workbookViewId="0"/>
  </sheetViews>
  <sheetFormatPr defaultRowHeight="13.2" x14ac:dyDescent="0.25"/>
  <cols>
    <col min="1" max="1" width="3.33203125" style="43" customWidth="1"/>
    <col min="2" max="2" width="17.21875" style="43" customWidth="1"/>
    <col min="3" max="4" width="7.6640625" style="43" customWidth="1"/>
    <col min="5" max="6" width="7.6640625" style="44" customWidth="1"/>
    <col min="7" max="14" width="8" style="44" customWidth="1"/>
    <col min="15" max="17" width="6.6640625" style="44" customWidth="1"/>
    <col min="18" max="18" width="7.33203125" style="44" customWidth="1"/>
    <col min="19" max="19" width="5.6640625" style="44" customWidth="1"/>
    <col min="20" max="20" width="9.109375" style="44" customWidth="1"/>
    <col min="21" max="21" width="6.6640625" style="44" customWidth="1"/>
    <col min="22" max="24" width="7.5546875" style="44" customWidth="1"/>
    <col min="25" max="25" width="6.6640625" style="44" customWidth="1"/>
    <col min="26" max="35" width="8.88671875" style="43"/>
    <col min="36" max="36" width="6.109375" style="43" customWidth="1"/>
    <col min="37" max="16384" width="8.88671875" style="43"/>
  </cols>
  <sheetData>
    <row r="1" spans="2:25" s="118" customFormat="1" ht="13.8" x14ac:dyDescent="0.25">
      <c r="B1" s="209" t="s">
        <v>101</v>
      </c>
      <c r="E1" s="90"/>
      <c r="F1" s="90"/>
      <c r="G1" s="90"/>
      <c r="H1" s="90"/>
      <c r="I1" s="90"/>
      <c r="J1" s="90"/>
      <c r="K1" s="90"/>
      <c r="L1" s="90"/>
      <c r="M1" s="90"/>
      <c r="N1" s="90"/>
      <c r="O1" s="90"/>
      <c r="P1" s="90"/>
      <c r="Q1" s="90"/>
      <c r="R1" s="90"/>
      <c r="S1" s="90"/>
      <c r="T1" s="90"/>
      <c r="U1" s="90"/>
      <c r="V1" s="90"/>
      <c r="W1" s="90"/>
      <c r="X1" s="90"/>
      <c r="Y1" s="90"/>
    </row>
    <row r="2" spans="2:25" x14ac:dyDescent="0.25">
      <c r="B2" s="270" t="s">
        <v>93</v>
      </c>
      <c r="C2" s="270"/>
    </row>
    <row r="3" spans="2:25" x14ac:dyDescent="0.25">
      <c r="B3" s="91" t="s">
        <v>105</v>
      </c>
      <c r="C3" s="221"/>
    </row>
    <row r="4" spans="2:25" x14ac:dyDescent="0.25">
      <c r="E4" s="31" t="s">
        <v>88</v>
      </c>
      <c r="F4" s="10"/>
      <c r="G4" s="11"/>
      <c r="H4" s="196"/>
      <c r="I4" s="12"/>
      <c r="J4" s="13"/>
      <c r="K4" s="14"/>
      <c r="L4" s="29"/>
      <c r="M4" s="30"/>
      <c r="N4" s="23"/>
      <c r="O4" s="205"/>
      <c r="P4"/>
      <c r="Q4"/>
      <c r="R4"/>
      <c r="T4" s="43"/>
      <c r="U4" s="43"/>
      <c r="V4" s="43"/>
      <c r="W4" s="43"/>
      <c r="X4" s="43"/>
      <c r="Y4" s="43"/>
    </row>
    <row r="5" spans="2:25" x14ac:dyDescent="0.25">
      <c r="B5" s="32" t="s">
        <v>103</v>
      </c>
      <c r="C5"/>
      <c r="D5"/>
      <c r="E5" s="2"/>
      <c r="F5" s="2"/>
      <c r="G5" s="2"/>
      <c r="H5" s="2"/>
      <c r="I5" s="2"/>
      <c r="J5" s="2"/>
      <c r="K5" s="2"/>
      <c r="L5" s="2"/>
      <c r="M5" s="2"/>
      <c r="N5" s="2"/>
      <c r="O5" s="2"/>
      <c r="P5" s="2"/>
      <c r="Q5" s="2"/>
      <c r="R5" s="2"/>
    </row>
    <row r="6" spans="2:25" x14ac:dyDescent="0.25">
      <c r="B6" s="32" t="s">
        <v>98</v>
      </c>
      <c r="C6"/>
      <c r="D6"/>
      <c r="E6" s="2"/>
      <c r="F6" s="2"/>
      <c r="G6" s="2"/>
      <c r="H6" s="2"/>
      <c r="I6" s="2"/>
      <c r="J6" s="2"/>
      <c r="K6" s="2"/>
      <c r="L6" s="2"/>
      <c r="M6" s="2"/>
      <c r="N6" s="2"/>
      <c r="O6" s="2"/>
      <c r="P6" s="2"/>
      <c r="Q6" s="2"/>
      <c r="R6" s="2"/>
    </row>
    <row r="7" spans="2:25" x14ac:dyDescent="0.25">
      <c r="B7" s="32" t="s">
        <v>118</v>
      </c>
      <c r="C7"/>
      <c r="D7"/>
      <c r="E7" s="2"/>
      <c r="F7" s="2"/>
      <c r="G7" s="2"/>
      <c r="H7" s="2"/>
      <c r="I7" s="2"/>
      <c r="J7" s="2"/>
      <c r="K7" s="2"/>
      <c r="L7" s="2"/>
      <c r="M7" s="2"/>
      <c r="N7" s="2"/>
      <c r="O7" s="2"/>
      <c r="P7" s="2"/>
      <c r="Q7" s="2"/>
      <c r="R7" s="2"/>
    </row>
    <row r="8" spans="2:25" x14ac:dyDescent="0.25">
      <c r="B8" s="32" t="s">
        <v>87</v>
      </c>
      <c r="C8"/>
      <c r="D8"/>
      <c r="E8" s="2"/>
      <c r="F8" s="2"/>
      <c r="G8" s="2"/>
      <c r="H8" s="2"/>
      <c r="I8" s="2"/>
      <c r="J8" s="2"/>
      <c r="K8" s="2"/>
      <c r="L8" s="2"/>
      <c r="M8" s="2"/>
      <c r="N8" s="2"/>
      <c r="O8" s="2"/>
      <c r="P8" s="2"/>
      <c r="Q8" s="2"/>
      <c r="R8" s="2"/>
    </row>
    <row r="9" spans="2:25" x14ac:dyDescent="0.25">
      <c r="B9" s="32" t="s">
        <v>107</v>
      </c>
      <c r="C9"/>
      <c r="D9"/>
      <c r="E9" s="2"/>
      <c r="F9" s="2"/>
      <c r="G9" s="2"/>
      <c r="H9" s="2"/>
      <c r="I9" s="2"/>
      <c r="J9" s="2"/>
      <c r="K9" s="2"/>
      <c r="L9" s="2"/>
      <c r="M9" s="2"/>
      <c r="N9" s="2"/>
      <c r="O9" s="2"/>
      <c r="P9" s="2"/>
      <c r="Q9" s="2"/>
      <c r="R9" s="2"/>
    </row>
    <row r="10" spans="2:25" x14ac:dyDescent="0.25">
      <c r="B10" s="32" t="s">
        <v>89</v>
      </c>
      <c r="C10"/>
      <c r="D10"/>
      <c r="E10" s="2"/>
      <c r="F10" s="2"/>
      <c r="G10" s="2"/>
      <c r="H10" s="2"/>
      <c r="I10" s="2"/>
      <c r="J10" s="2"/>
      <c r="K10" s="2"/>
      <c r="L10" s="2"/>
      <c r="M10" s="2"/>
      <c r="N10" s="2"/>
      <c r="O10" s="2"/>
      <c r="P10" s="2"/>
      <c r="Q10" s="2"/>
      <c r="R10" s="2"/>
    </row>
    <row r="11" spans="2:25" x14ac:dyDescent="0.25">
      <c r="B11" s="32" t="s">
        <v>90</v>
      </c>
      <c r="C11"/>
      <c r="D11"/>
      <c r="E11" s="2"/>
      <c r="F11" s="2"/>
      <c r="G11" s="2"/>
      <c r="H11" s="2"/>
      <c r="I11" s="2"/>
      <c r="J11" s="2"/>
      <c r="K11" s="2"/>
      <c r="L11" s="2"/>
      <c r="M11" s="2"/>
      <c r="N11" s="2"/>
      <c r="O11" s="2"/>
      <c r="P11" s="2"/>
      <c r="Q11" s="2"/>
      <c r="R11" s="2"/>
    </row>
    <row r="12" spans="2:25" x14ac:dyDescent="0.25">
      <c r="B12" s="32" t="s">
        <v>109</v>
      </c>
      <c r="C12"/>
      <c r="D12"/>
      <c r="E12" s="2"/>
      <c r="F12" s="2"/>
      <c r="G12" s="2"/>
      <c r="H12" s="2"/>
      <c r="I12" s="2"/>
      <c r="J12" s="2"/>
      <c r="K12" s="2"/>
      <c r="L12" s="2"/>
      <c r="M12" s="2"/>
      <c r="N12" s="2"/>
      <c r="O12" s="2"/>
      <c r="P12" s="2"/>
      <c r="Q12" s="2"/>
      <c r="R12" s="2"/>
      <c r="T12" s="43"/>
      <c r="U12" s="43"/>
      <c r="V12" s="43"/>
      <c r="W12" s="43"/>
      <c r="X12" s="43"/>
      <c r="Y12" s="43"/>
    </row>
    <row r="13" spans="2:25" x14ac:dyDescent="0.25">
      <c r="B13" s="91" t="s">
        <v>106</v>
      </c>
      <c r="C13" s="221"/>
    </row>
    <row r="14" spans="2:25" x14ac:dyDescent="0.25">
      <c r="B14" s="91" t="s">
        <v>104</v>
      </c>
      <c r="C14" s="221"/>
    </row>
    <row r="15" spans="2:25" x14ac:dyDescent="0.25">
      <c r="B15" s="208" t="s">
        <v>110</v>
      </c>
      <c r="C15"/>
      <c r="D15"/>
      <c r="E15" s="2"/>
      <c r="F15" s="2"/>
      <c r="G15" s="2"/>
      <c r="H15" s="2"/>
      <c r="I15" s="2"/>
      <c r="J15" s="2"/>
      <c r="K15" s="2"/>
      <c r="L15" s="2"/>
      <c r="M15" s="2"/>
      <c r="N15" s="2"/>
      <c r="O15" s="2"/>
      <c r="P15" s="2"/>
      <c r="Q15" s="2"/>
      <c r="R15" s="2"/>
      <c r="T15" s="43"/>
      <c r="U15" s="43"/>
      <c r="V15" s="43"/>
      <c r="W15" s="43"/>
      <c r="X15" s="43"/>
      <c r="Y15" s="43"/>
    </row>
    <row r="16" spans="2:25" x14ac:dyDescent="0.25">
      <c r="B16" s="32" t="s">
        <v>99</v>
      </c>
      <c r="C16"/>
      <c r="D16"/>
      <c r="E16" s="2"/>
      <c r="F16" s="2"/>
      <c r="G16" s="2"/>
      <c r="H16" s="2"/>
      <c r="I16" s="2"/>
      <c r="J16" s="2"/>
      <c r="K16" s="2"/>
      <c r="L16" s="2"/>
      <c r="M16" s="2"/>
      <c r="N16" s="2"/>
      <c r="O16" s="2"/>
      <c r="P16" s="2"/>
      <c r="Q16" s="2"/>
      <c r="R16" s="2"/>
      <c r="T16" s="43"/>
      <c r="U16" s="43"/>
      <c r="V16" s="43"/>
      <c r="W16" s="43"/>
      <c r="X16" s="43"/>
      <c r="Y16" s="43"/>
    </row>
    <row r="17" spans="2:36" x14ac:dyDescent="0.25">
      <c r="B17" s="32" t="s">
        <v>111</v>
      </c>
      <c r="C17"/>
      <c r="D17"/>
      <c r="E17" s="2"/>
      <c r="F17" s="2"/>
      <c r="G17" s="2"/>
      <c r="H17" s="2"/>
      <c r="I17" s="2"/>
      <c r="J17" s="2"/>
      <c r="K17" s="2"/>
      <c r="L17" s="2"/>
      <c r="M17" s="2"/>
      <c r="N17" s="2"/>
      <c r="O17" s="2"/>
      <c r="P17" s="2"/>
      <c r="Q17" s="2"/>
      <c r="R17" s="2"/>
      <c r="T17" s="43"/>
      <c r="U17" s="43"/>
      <c r="V17" s="43"/>
      <c r="W17" s="43"/>
      <c r="X17" s="43"/>
      <c r="Y17" s="43"/>
    </row>
    <row r="18" spans="2:36" x14ac:dyDescent="0.25">
      <c r="B18" s="32" t="s">
        <v>108</v>
      </c>
      <c r="C18"/>
      <c r="D18"/>
      <c r="E18" s="2"/>
      <c r="F18" s="2"/>
      <c r="G18" s="2"/>
      <c r="H18" s="2"/>
      <c r="I18" s="2"/>
      <c r="J18" s="2"/>
      <c r="K18" s="2"/>
      <c r="L18" s="2"/>
      <c r="M18" s="2"/>
      <c r="N18" s="2"/>
      <c r="O18" s="2"/>
      <c r="P18" s="2"/>
      <c r="Q18" s="2"/>
      <c r="R18" s="2"/>
      <c r="T18" s="43"/>
      <c r="U18" s="43"/>
      <c r="V18" s="43"/>
      <c r="W18" s="43"/>
      <c r="X18" s="43"/>
      <c r="Y18" s="43"/>
    </row>
    <row r="19" spans="2:36" x14ac:dyDescent="0.25">
      <c r="B19" s="68" t="s">
        <v>94</v>
      </c>
      <c r="C19" s="27"/>
    </row>
    <row r="20" spans="2:36" x14ac:dyDescent="0.25">
      <c r="Y20" s="43"/>
    </row>
    <row r="21" spans="2:36" x14ac:dyDescent="0.25">
      <c r="B21" s="168"/>
      <c r="C21" s="94" t="s">
        <v>96</v>
      </c>
      <c r="D21" s="195">
        <v>90</v>
      </c>
      <c r="E21" s="68"/>
      <c r="Y21" s="43"/>
    </row>
    <row r="22" spans="2:36" x14ac:dyDescent="0.25">
      <c r="B22" s="194" t="s">
        <v>86</v>
      </c>
      <c r="D22"/>
    </row>
    <row r="23" spans="2:36" x14ac:dyDescent="0.25">
      <c r="C23"/>
      <c r="D23" s="46" t="s">
        <v>84</v>
      </c>
      <c r="U23" s="48"/>
      <c r="AD23" s="44"/>
      <c r="AE23" s="44"/>
      <c r="AF23" s="44"/>
    </row>
    <row r="24" spans="2:36" ht="27.75" customHeight="1" x14ac:dyDescent="0.25">
      <c r="D24" s="49" t="s">
        <v>3</v>
      </c>
      <c r="F24" s="50"/>
      <c r="G24" s="50"/>
      <c r="H24" s="50"/>
      <c r="I24" s="50"/>
      <c r="J24" s="50"/>
      <c r="K24" s="50"/>
      <c r="L24" s="50"/>
      <c r="M24" s="50"/>
      <c r="N24" s="50"/>
      <c r="U24" s="51"/>
      <c r="V24" s="50"/>
      <c r="W24" s="50"/>
      <c r="X24" s="50"/>
      <c r="Y24" s="50"/>
      <c r="AC24" s="50"/>
      <c r="AD24" s="52"/>
      <c r="AE24" s="50"/>
      <c r="AF24" s="50"/>
    </row>
    <row r="25" spans="2:36" x14ac:dyDescent="0.25">
      <c r="C25" s="53" t="s">
        <v>2</v>
      </c>
      <c r="D25" s="203">
        <v>400</v>
      </c>
      <c r="U25" s="48"/>
      <c r="Z25" s="44"/>
      <c r="AA25" s="44"/>
      <c r="AD25" s="54"/>
      <c r="AE25" s="44"/>
      <c r="AF25" s="44"/>
      <c r="AG25" s="44"/>
    </row>
    <row r="26" spans="2:36" x14ac:dyDescent="0.25">
      <c r="C26" s="53" t="s">
        <v>25</v>
      </c>
      <c r="D26" s="203">
        <v>30</v>
      </c>
      <c r="U26" s="47"/>
      <c r="Z26" s="44"/>
      <c r="AA26" s="44"/>
      <c r="AB26" s="44"/>
      <c r="AC26" s="44"/>
      <c r="AD26" s="44"/>
      <c r="AE26" s="44"/>
      <c r="AF26" s="44"/>
      <c r="AG26" s="44"/>
    </row>
    <row r="27" spans="2:36" x14ac:dyDescent="0.25">
      <c r="C27" s="53" t="s">
        <v>26</v>
      </c>
      <c r="D27" s="55">
        <f>1+D26/100</f>
        <v>1.3</v>
      </c>
      <c r="U27" s="56"/>
      <c r="V27" s="28" t="s">
        <v>85</v>
      </c>
      <c r="Z27" s="44"/>
      <c r="AA27" s="44"/>
      <c r="AD27" s="54"/>
      <c r="AE27" s="44"/>
      <c r="AF27" s="44"/>
      <c r="AG27" s="44"/>
    </row>
    <row r="28" spans="2:36" x14ac:dyDescent="0.25">
      <c r="C28" s="53" t="s">
        <v>77</v>
      </c>
      <c r="D28" s="46"/>
      <c r="E28" s="197">
        <v>10</v>
      </c>
      <c r="F28" s="206">
        <f>E28</f>
        <v>10</v>
      </c>
      <c r="G28" s="206">
        <f t="shared" ref="G28:N28" si="0">F28</f>
        <v>10</v>
      </c>
      <c r="H28" s="206">
        <f t="shared" si="0"/>
        <v>10</v>
      </c>
      <c r="I28" s="206">
        <f t="shared" si="0"/>
        <v>10</v>
      </c>
      <c r="J28" s="206">
        <f t="shared" si="0"/>
        <v>10</v>
      </c>
      <c r="K28" s="206">
        <f t="shared" si="0"/>
        <v>10</v>
      </c>
      <c r="L28" s="206">
        <f t="shared" si="0"/>
        <v>10</v>
      </c>
      <c r="M28" s="206">
        <f t="shared" si="0"/>
        <v>10</v>
      </c>
      <c r="N28" s="206">
        <f t="shared" si="0"/>
        <v>10</v>
      </c>
      <c r="U28" s="48"/>
      <c r="V28" s="68" t="s">
        <v>100</v>
      </c>
      <c r="Z28" s="44"/>
      <c r="AA28" s="44"/>
      <c r="AC28" s="45"/>
      <c r="AE28" s="54"/>
      <c r="AF28" s="54"/>
      <c r="AG28" s="54"/>
    </row>
    <row r="29" spans="2:36" x14ac:dyDescent="0.25">
      <c r="C29" s="57"/>
      <c r="D29" s="46"/>
      <c r="E29" s="198"/>
      <c r="F29" s="198"/>
      <c r="G29" s="198"/>
      <c r="H29" s="198"/>
      <c r="I29" s="198"/>
      <c r="J29" s="198"/>
      <c r="K29" s="198"/>
      <c r="L29" s="198"/>
      <c r="M29" s="198"/>
      <c r="N29" s="199"/>
      <c r="U29" s="48"/>
      <c r="Z29" s="44"/>
      <c r="AA29" s="44"/>
      <c r="AC29" s="45"/>
      <c r="AE29" s="54"/>
      <c r="AF29" s="54"/>
      <c r="AG29" s="54"/>
    </row>
    <row r="30" spans="2:36" x14ac:dyDescent="0.25">
      <c r="C30" s="57"/>
      <c r="D30" s="53"/>
      <c r="E30" s="198"/>
      <c r="F30" s="198"/>
      <c r="G30" s="198"/>
      <c r="H30" s="198"/>
      <c r="I30" s="198"/>
      <c r="J30" s="198"/>
      <c r="K30" s="198"/>
      <c r="L30" s="198"/>
      <c r="M30" s="198"/>
      <c r="N30" s="198"/>
      <c r="R30" s="193" t="s">
        <v>91</v>
      </c>
      <c r="S30" s="192"/>
      <c r="U30" s="48"/>
      <c r="Z30" s="44"/>
      <c r="AA30" s="44"/>
      <c r="AC30" s="45"/>
      <c r="AE30" s="54"/>
      <c r="AF30" s="54"/>
      <c r="AG30" s="54"/>
      <c r="AI30" s="193" t="s">
        <v>91</v>
      </c>
      <c r="AJ30" s="192"/>
    </row>
    <row r="31" spans="2:36" ht="12.6" customHeight="1" x14ac:dyDescent="0.25">
      <c r="C31" s="53"/>
      <c r="D31" s="46"/>
      <c r="E31" s="200"/>
      <c r="F31" s="200"/>
      <c r="G31" s="200"/>
      <c r="H31" s="200"/>
      <c r="I31" s="200"/>
      <c r="J31" s="200"/>
      <c r="K31" s="200"/>
      <c r="L31" s="200"/>
      <c r="M31" s="200"/>
      <c r="N31" s="200"/>
      <c r="P31" s="58" t="s">
        <v>2</v>
      </c>
      <c r="R31" s="193" t="s">
        <v>92</v>
      </c>
      <c r="S31" s="192"/>
      <c r="Z31" s="44"/>
      <c r="AA31" s="44"/>
      <c r="AC31" s="45"/>
      <c r="AE31" s="54"/>
      <c r="AF31" s="44"/>
      <c r="AG31" s="58" t="s">
        <v>2</v>
      </c>
      <c r="AI31" s="193" t="s">
        <v>92</v>
      </c>
      <c r="AJ31" s="192"/>
    </row>
    <row r="32" spans="2:36" x14ac:dyDescent="0.25">
      <c r="C32" s="220" t="s">
        <v>4</v>
      </c>
      <c r="D32" s="59"/>
      <c r="E32" s="210">
        <v>812.66894479840244</v>
      </c>
      <c r="F32" s="211">
        <v>706.73425202427995</v>
      </c>
      <c r="G32" s="211">
        <v>595.95357002551157</v>
      </c>
      <c r="H32" s="211">
        <v>625.97412165364346</v>
      </c>
      <c r="I32" s="211">
        <v>556.23851732836431</v>
      </c>
      <c r="J32" s="211">
        <v>629.69262370244178</v>
      </c>
      <c r="K32" s="211">
        <v>662.43443970567694</v>
      </c>
      <c r="L32" s="211">
        <v>645.17699960024163</v>
      </c>
      <c r="M32" s="211">
        <v>628.61852133160573</v>
      </c>
      <c r="N32" s="212">
        <v>638.96908271547159</v>
      </c>
      <c r="O32" s="60"/>
      <c r="P32" s="61">
        <f>AVERAGE(E32:N32)</f>
        <v>650.24610728856385</v>
      </c>
      <c r="R32" s="191">
        <f>COUNT(E32:N32)*(P32-$P$54)^2</f>
        <v>544062.92306580476</v>
      </c>
      <c r="S32" s="192">
        <f>COUNT(E32:N32)</f>
        <v>10</v>
      </c>
      <c r="U32" s="60"/>
      <c r="V32" s="156">
        <f t="shared" ref="V32:AE51" si="1">100*LN(E32)</f>
        <v>670.03238246485898</v>
      </c>
      <c r="W32" s="157">
        <f t="shared" si="1"/>
        <v>656.06547140817679</v>
      </c>
      <c r="X32" s="157">
        <f t="shared" si="1"/>
        <v>639.01627613890219</v>
      </c>
      <c r="Y32" s="157">
        <f t="shared" si="1"/>
        <v>643.93090310341779</v>
      </c>
      <c r="Z32" s="157">
        <f t="shared" si="1"/>
        <v>632.11971902621929</v>
      </c>
      <c r="AA32" s="157">
        <f t="shared" si="1"/>
        <v>644.52318014391756</v>
      </c>
      <c r="AB32" s="157">
        <f t="shared" si="1"/>
        <v>649.59215940287913</v>
      </c>
      <c r="AC32" s="157">
        <f t="shared" si="1"/>
        <v>646.9524697134915</v>
      </c>
      <c r="AD32" s="157">
        <f t="shared" si="1"/>
        <v>644.35245883449352</v>
      </c>
      <c r="AE32" s="158">
        <f t="shared" si="1"/>
        <v>645.98560693501463</v>
      </c>
      <c r="AF32" s="60"/>
      <c r="AG32" s="61">
        <f t="shared" ref="AG32:AG51" si="2">AVERAGE(V32:AE32)</f>
        <v>647.25706271713705</v>
      </c>
      <c r="AI32" s="191">
        <f t="shared" ref="AI32:AI51" si="3">COUNT(V32:AE32)*(AG32-$AG$54)^2</f>
        <v>24530.967173806355</v>
      </c>
      <c r="AJ32" s="192">
        <f>COUNT(V32:AE32)</f>
        <v>10</v>
      </c>
    </row>
    <row r="33" spans="3:36" x14ac:dyDescent="0.25">
      <c r="C33" s="219" t="s">
        <v>5</v>
      </c>
      <c r="D33" s="20"/>
      <c r="E33" s="213">
        <v>190.23584740022159</v>
      </c>
      <c r="F33" s="214">
        <v>215.77965529836985</v>
      </c>
      <c r="G33" s="214">
        <v>198.4007142412803</v>
      </c>
      <c r="H33" s="214">
        <v>180.57694483765306</v>
      </c>
      <c r="I33" s="214">
        <v>199.2070851826108</v>
      </c>
      <c r="J33" s="214">
        <v>186.96803129179469</v>
      </c>
      <c r="K33" s="214">
        <v>221.03494784023454</v>
      </c>
      <c r="L33" s="214">
        <v>233.56412492259201</v>
      </c>
      <c r="M33" s="214">
        <v>203.57994762346144</v>
      </c>
      <c r="N33" s="215">
        <v>210.972923078549</v>
      </c>
      <c r="O33" s="60"/>
      <c r="P33" s="61">
        <f t="shared" ref="P33:P51" si="4">AVERAGE(E33:N33)</f>
        <v>204.03202217167672</v>
      </c>
      <c r="R33" s="191">
        <f t="shared" ref="R33:R51" si="5">COUNT(E33:N33)*(P33-$P$54)^2</f>
        <v>453530.35219560639</v>
      </c>
      <c r="S33" s="192">
        <f t="shared" ref="S33:S51" si="6">COUNT(E33:N33)</f>
        <v>10</v>
      </c>
      <c r="U33" s="60"/>
      <c r="V33" s="159">
        <f t="shared" si="1"/>
        <v>524.82646044884086</v>
      </c>
      <c r="W33" s="160">
        <f t="shared" si="1"/>
        <v>537.42577726539866</v>
      </c>
      <c r="X33" s="160">
        <f t="shared" si="1"/>
        <v>529.02887948507453</v>
      </c>
      <c r="Y33" s="160">
        <f t="shared" si="1"/>
        <v>519.61569741275787</v>
      </c>
      <c r="Z33" s="160">
        <f t="shared" si="1"/>
        <v>529.43449127037616</v>
      </c>
      <c r="AA33" s="160">
        <f t="shared" si="1"/>
        <v>523.09376465811499</v>
      </c>
      <c r="AB33" s="160">
        <f t="shared" si="1"/>
        <v>539.8320824039414</v>
      </c>
      <c r="AC33" s="160">
        <f t="shared" si="1"/>
        <v>545.34566643425808</v>
      </c>
      <c r="AD33" s="160">
        <f t="shared" si="1"/>
        <v>531.60587907467334</v>
      </c>
      <c r="AE33" s="161">
        <f t="shared" si="1"/>
        <v>535.17297985995503</v>
      </c>
      <c r="AF33" s="60"/>
      <c r="AG33" s="61">
        <f t="shared" si="2"/>
        <v>531.53816783133914</v>
      </c>
      <c r="AI33" s="191">
        <f t="shared" si="3"/>
        <v>43811.357600130374</v>
      </c>
      <c r="AJ33" s="192">
        <f t="shared" ref="AJ33:AJ51" si="7">COUNT(V33:AE33)</f>
        <v>10</v>
      </c>
    </row>
    <row r="34" spans="3:36" x14ac:dyDescent="0.25">
      <c r="C34" s="219" t="s">
        <v>6</v>
      </c>
      <c r="D34" s="20"/>
      <c r="E34" s="213">
        <v>563.84982085276806</v>
      </c>
      <c r="F34" s="214">
        <v>489.19716411122982</v>
      </c>
      <c r="G34" s="214">
        <v>415.06998168889641</v>
      </c>
      <c r="H34" s="214">
        <v>527.91389019544545</v>
      </c>
      <c r="I34" s="214">
        <v>499.0826986000323</v>
      </c>
      <c r="J34" s="214">
        <v>401.31988951544577</v>
      </c>
      <c r="K34" s="214">
        <v>515.02921682796102</v>
      </c>
      <c r="L34" s="214">
        <v>564.92218304516143</v>
      </c>
      <c r="M34" s="214">
        <v>441.72173294774802</v>
      </c>
      <c r="N34" s="215">
        <v>413.523033197389</v>
      </c>
      <c r="O34" s="60"/>
      <c r="P34" s="61">
        <f t="shared" si="4"/>
        <v>483.1629610982078</v>
      </c>
      <c r="R34" s="191">
        <f t="shared" si="5"/>
        <v>43782.595716380412</v>
      </c>
      <c r="S34" s="192">
        <f t="shared" si="6"/>
        <v>10</v>
      </c>
      <c r="U34" s="60"/>
      <c r="V34" s="159">
        <f t="shared" si="1"/>
        <v>633.478794095681</v>
      </c>
      <c r="W34" s="160">
        <f t="shared" si="1"/>
        <v>619.27656068036345</v>
      </c>
      <c r="X34" s="160">
        <f t="shared" si="1"/>
        <v>602.8447136589815</v>
      </c>
      <c r="Y34" s="160">
        <f t="shared" si="1"/>
        <v>626.89331836551207</v>
      </c>
      <c r="Z34" s="160">
        <f t="shared" si="1"/>
        <v>621.27718106774216</v>
      </c>
      <c r="AA34" s="160">
        <f t="shared" si="1"/>
        <v>599.47588387544886</v>
      </c>
      <c r="AB34" s="160">
        <f t="shared" si="1"/>
        <v>624.42236307593328</v>
      </c>
      <c r="AC34" s="160">
        <f t="shared" si="1"/>
        <v>633.66879925373064</v>
      </c>
      <c r="AD34" s="160">
        <f t="shared" si="1"/>
        <v>609.06801203527698</v>
      </c>
      <c r="AE34" s="161">
        <f t="shared" si="1"/>
        <v>602.47132159290504</v>
      </c>
      <c r="AF34" s="60"/>
      <c r="AG34" s="61">
        <f t="shared" si="2"/>
        <v>617.2876947701576</v>
      </c>
      <c r="AI34" s="191">
        <f t="shared" si="3"/>
        <v>3825.6928445164085</v>
      </c>
      <c r="AJ34" s="192">
        <f t="shared" si="7"/>
        <v>10</v>
      </c>
    </row>
    <row r="35" spans="3:36" x14ac:dyDescent="0.25">
      <c r="C35" s="219" t="s">
        <v>7</v>
      </c>
      <c r="D35" s="20"/>
      <c r="E35" s="213">
        <v>626.73793885515659</v>
      </c>
      <c r="F35" s="214">
        <v>560.22242945364314</v>
      </c>
      <c r="G35" s="214">
        <v>541.78786447409743</v>
      </c>
      <c r="H35" s="214">
        <v>636.70800475634246</v>
      </c>
      <c r="I35" s="214">
        <v>548.60228664447254</v>
      </c>
      <c r="J35" s="214">
        <v>514.30646119362791</v>
      </c>
      <c r="K35" s="214">
        <v>546.34544457983441</v>
      </c>
      <c r="L35" s="214">
        <v>571.60423762969981</v>
      </c>
      <c r="M35" s="214">
        <v>501.69293998241022</v>
      </c>
      <c r="N35" s="215">
        <v>564.04350368766961</v>
      </c>
      <c r="O35" s="60"/>
      <c r="P35" s="61">
        <f t="shared" si="4"/>
        <v>561.20511112569545</v>
      </c>
      <c r="R35" s="191">
        <f t="shared" si="5"/>
        <v>207966.87998406886</v>
      </c>
      <c r="S35" s="192">
        <f t="shared" si="6"/>
        <v>10</v>
      </c>
      <c r="U35" s="60"/>
      <c r="V35" s="159">
        <f t="shared" si="1"/>
        <v>644.05284929045422</v>
      </c>
      <c r="W35" s="160">
        <f t="shared" si="1"/>
        <v>632.83339003208971</v>
      </c>
      <c r="X35" s="160">
        <f t="shared" si="1"/>
        <v>629.4874530865809</v>
      </c>
      <c r="Y35" s="160">
        <f t="shared" si="1"/>
        <v>645.63111592014377</v>
      </c>
      <c r="Z35" s="160">
        <f t="shared" si="1"/>
        <v>630.73737466400451</v>
      </c>
      <c r="AA35" s="160">
        <f t="shared" si="1"/>
        <v>624.28193157850353</v>
      </c>
      <c r="AB35" s="160">
        <f t="shared" si="1"/>
        <v>630.32514580664349</v>
      </c>
      <c r="AC35" s="160">
        <f t="shared" si="1"/>
        <v>634.8446859656118</v>
      </c>
      <c r="AD35" s="160">
        <f t="shared" si="1"/>
        <v>621.79882592014587</v>
      </c>
      <c r="AE35" s="161">
        <f t="shared" si="1"/>
        <v>633.51313827213653</v>
      </c>
      <c r="AF35" s="60"/>
      <c r="AG35" s="61">
        <f t="shared" si="2"/>
        <v>632.75059105363141</v>
      </c>
      <c r="AI35" s="191">
        <f t="shared" si="3"/>
        <v>12265.597258977696</v>
      </c>
      <c r="AJ35" s="192">
        <f t="shared" si="7"/>
        <v>10</v>
      </c>
    </row>
    <row r="36" spans="3:36" x14ac:dyDescent="0.25">
      <c r="C36" s="219" t="s">
        <v>8</v>
      </c>
      <c r="D36" s="20"/>
      <c r="E36" s="213">
        <v>380.04579307099067</v>
      </c>
      <c r="F36" s="214">
        <v>301.27966734332068</v>
      </c>
      <c r="G36" s="214">
        <v>373.55858296759527</v>
      </c>
      <c r="H36" s="214">
        <v>314.63810400283342</v>
      </c>
      <c r="I36" s="214">
        <v>281.28191820975479</v>
      </c>
      <c r="J36" s="214">
        <v>307.24887400799685</v>
      </c>
      <c r="K36" s="214">
        <v>327.20065334060172</v>
      </c>
      <c r="L36" s="214">
        <v>288.67788355477541</v>
      </c>
      <c r="M36" s="214">
        <v>278.36266394507493</v>
      </c>
      <c r="N36" s="215">
        <v>285.12885237823406</v>
      </c>
      <c r="O36" s="60"/>
      <c r="P36" s="61">
        <f t="shared" si="4"/>
        <v>313.74229928211776</v>
      </c>
      <c r="R36" s="191">
        <f t="shared" si="5"/>
        <v>106610.25804659577</v>
      </c>
      <c r="S36" s="192">
        <f t="shared" si="6"/>
        <v>10</v>
      </c>
      <c r="U36" s="60"/>
      <c r="V36" s="159">
        <f t="shared" si="1"/>
        <v>594.02917535414701</v>
      </c>
      <c r="W36" s="160">
        <f t="shared" si="1"/>
        <v>570.80389607636516</v>
      </c>
      <c r="X36" s="160">
        <f t="shared" si="1"/>
        <v>592.30748409148964</v>
      </c>
      <c r="Y36" s="160">
        <f t="shared" si="1"/>
        <v>575.14231021800026</v>
      </c>
      <c r="Z36" s="160">
        <f t="shared" si="1"/>
        <v>563.93574340474879</v>
      </c>
      <c r="AA36" s="160">
        <f t="shared" si="1"/>
        <v>572.76580836973517</v>
      </c>
      <c r="AB36" s="160">
        <f t="shared" si="1"/>
        <v>579.05736014888282</v>
      </c>
      <c r="AC36" s="160">
        <f t="shared" si="1"/>
        <v>566.53114767194427</v>
      </c>
      <c r="AD36" s="160">
        <f t="shared" si="1"/>
        <v>562.89248100741054</v>
      </c>
      <c r="AE36" s="161">
        <f t="shared" si="1"/>
        <v>565.29411917039272</v>
      </c>
      <c r="AF36" s="60"/>
      <c r="AG36" s="61">
        <f t="shared" si="2"/>
        <v>574.27595255131166</v>
      </c>
      <c r="AI36" s="191">
        <f t="shared" si="3"/>
        <v>5500.1336742383</v>
      </c>
      <c r="AJ36" s="192">
        <f t="shared" si="7"/>
        <v>10</v>
      </c>
    </row>
    <row r="37" spans="3:36" x14ac:dyDescent="0.25">
      <c r="C37" s="219" t="s">
        <v>9</v>
      </c>
      <c r="D37" s="20"/>
      <c r="E37" s="213">
        <v>695.99480877335236</v>
      </c>
      <c r="F37" s="214">
        <v>490.86320166202768</v>
      </c>
      <c r="G37" s="214">
        <v>503.57156061765818</v>
      </c>
      <c r="H37" s="214">
        <v>553.05136521151087</v>
      </c>
      <c r="I37" s="214">
        <v>533.60951888686486</v>
      </c>
      <c r="J37" s="214">
        <v>576.23253404906586</v>
      </c>
      <c r="K37" s="214">
        <v>638.89612108824758</v>
      </c>
      <c r="L37" s="214">
        <v>552.42267062662461</v>
      </c>
      <c r="M37" s="214">
        <v>496.60496512548718</v>
      </c>
      <c r="N37" s="215">
        <v>583.43844005392668</v>
      </c>
      <c r="O37" s="60"/>
      <c r="P37" s="61">
        <f t="shared" si="4"/>
        <v>562.46851860947663</v>
      </c>
      <c r="R37" s="191">
        <f t="shared" si="5"/>
        <v>211626.77619241687</v>
      </c>
      <c r="S37" s="192">
        <f t="shared" si="6"/>
        <v>10</v>
      </c>
      <c r="U37" s="60"/>
      <c r="V37" s="159">
        <f t="shared" si="1"/>
        <v>654.5342201647627</v>
      </c>
      <c r="W37" s="160">
        <f t="shared" si="1"/>
        <v>619.61654772887766</v>
      </c>
      <c r="X37" s="160">
        <f t="shared" si="1"/>
        <v>622.17258284104844</v>
      </c>
      <c r="Y37" s="160">
        <f t="shared" si="1"/>
        <v>631.54508818589329</v>
      </c>
      <c r="Z37" s="160">
        <f t="shared" si="1"/>
        <v>627.96643334356759</v>
      </c>
      <c r="AA37" s="160">
        <f t="shared" si="1"/>
        <v>635.65112841752693</v>
      </c>
      <c r="AB37" s="160">
        <f t="shared" si="1"/>
        <v>645.97418763553196</v>
      </c>
      <c r="AC37" s="160">
        <f t="shared" si="1"/>
        <v>631.43134609294771</v>
      </c>
      <c r="AD37" s="160">
        <f t="shared" si="1"/>
        <v>620.77948712630837</v>
      </c>
      <c r="AE37" s="161">
        <f t="shared" si="1"/>
        <v>636.89389449680402</v>
      </c>
      <c r="AF37" s="60"/>
      <c r="AG37" s="61">
        <f t="shared" si="2"/>
        <v>632.65649160332691</v>
      </c>
      <c r="AI37" s="191">
        <f t="shared" si="3"/>
        <v>12199.774270069747</v>
      </c>
      <c r="AJ37" s="192">
        <f t="shared" si="7"/>
        <v>10</v>
      </c>
    </row>
    <row r="38" spans="3:36" x14ac:dyDescent="0.25">
      <c r="C38" s="219" t="s">
        <v>10</v>
      </c>
      <c r="D38" s="20"/>
      <c r="E38" s="213">
        <v>290.89893562071086</v>
      </c>
      <c r="F38" s="214">
        <v>277.86787292296543</v>
      </c>
      <c r="G38" s="214">
        <v>278.28380164411533</v>
      </c>
      <c r="H38" s="214">
        <v>280.50643289790895</v>
      </c>
      <c r="I38" s="214">
        <v>281.03066834193032</v>
      </c>
      <c r="J38" s="214">
        <v>301.44990612585042</v>
      </c>
      <c r="K38" s="214">
        <v>334.89807138077538</v>
      </c>
      <c r="L38" s="214">
        <v>309.86171460866842</v>
      </c>
      <c r="M38" s="214">
        <v>266.6455185522633</v>
      </c>
      <c r="N38" s="215">
        <v>327.48241727308601</v>
      </c>
      <c r="O38" s="60"/>
      <c r="P38" s="61">
        <f t="shared" si="4"/>
        <v>294.89253393682742</v>
      </c>
      <c r="R38" s="191">
        <f t="shared" si="5"/>
        <v>149089.00584012584</v>
      </c>
      <c r="S38" s="192">
        <f t="shared" si="6"/>
        <v>10</v>
      </c>
      <c r="U38" s="60"/>
      <c r="V38" s="159">
        <f t="shared" si="1"/>
        <v>567.29759065763142</v>
      </c>
      <c r="W38" s="160">
        <f t="shared" si="1"/>
        <v>562.71457234550826</v>
      </c>
      <c r="X38" s="160">
        <f t="shared" si="1"/>
        <v>562.86414621814572</v>
      </c>
      <c r="Y38" s="160">
        <f t="shared" si="1"/>
        <v>563.65966583821626</v>
      </c>
      <c r="Z38" s="160">
        <f t="shared" si="1"/>
        <v>563.84638033852775</v>
      </c>
      <c r="AA38" s="160">
        <f t="shared" si="1"/>
        <v>570.86038535266766</v>
      </c>
      <c r="AB38" s="160">
        <f t="shared" si="1"/>
        <v>581.3826220992222</v>
      </c>
      <c r="AC38" s="160">
        <f t="shared" si="1"/>
        <v>573.61261160475385</v>
      </c>
      <c r="AD38" s="160">
        <f t="shared" si="1"/>
        <v>558.59201304259636</v>
      </c>
      <c r="AE38" s="161">
        <f t="shared" si="1"/>
        <v>579.14343659183021</v>
      </c>
      <c r="AF38" s="60"/>
      <c r="AG38" s="61">
        <f t="shared" si="2"/>
        <v>568.39734240890994</v>
      </c>
      <c r="AI38" s="191">
        <f t="shared" si="3"/>
        <v>8603.0603192994458</v>
      </c>
      <c r="AJ38" s="192">
        <f t="shared" si="7"/>
        <v>10</v>
      </c>
    </row>
    <row r="39" spans="3:36" x14ac:dyDescent="0.25">
      <c r="C39" s="219" t="s">
        <v>11</v>
      </c>
      <c r="D39" s="20"/>
      <c r="E39" s="213">
        <v>366.80955436007827</v>
      </c>
      <c r="F39" s="214">
        <v>426.36153660164331</v>
      </c>
      <c r="G39" s="214">
        <v>396.25347175689848</v>
      </c>
      <c r="H39" s="214">
        <v>309.99094912349909</v>
      </c>
      <c r="I39" s="214">
        <v>346.72449925515525</v>
      </c>
      <c r="J39" s="214">
        <v>315.91541425553191</v>
      </c>
      <c r="K39" s="214">
        <v>418.17114495876274</v>
      </c>
      <c r="L39" s="214">
        <v>331.15936825732655</v>
      </c>
      <c r="M39" s="214">
        <v>371.5090297165321</v>
      </c>
      <c r="N39" s="215">
        <v>371.0402699947989</v>
      </c>
      <c r="O39" s="60"/>
      <c r="P39" s="61">
        <f t="shared" si="4"/>
        <v>365.39352382802269</v>
      </c>
      <c r="R39" s="191">
        <f t="shared" si="5"/>
        <v>26626.651655349175</v>
      </c>
      <c r="S39" s="192">
        <f t="shared" si="6"/>
        <v>10</v>
      </c>
      <c r="U39" s="60"/>
      <c r="V39" s="159">
        <f t="shared" si="1"/>
        <v>590.48427879167832</v>
      </c>
      <c r="W39" s="160">
        <f t="shared" si="1"/>
        <v>605.52876638149189</v>
      </c>
      <c r="X39" s="160">
        <f t="shared" si="1"/>
        <v>598.20540866847136</v>
      </c>
      <c r="Y39" s="160">
        <f t="shared" si="1"/>
        <v>573.65431006771598</v>
      </c>
      <c r="Z39" s="160">
        <f t="shared" si="1"/>
        <v>584.85305143280902</v>
      </c>
      <c r="AA39" s="160">
        <f t="shared" si="1"/>
        <v>575.54745013486445</v>
      </c>
      <c r="AB39" s="160">
        <f t="shared" si="1"/>
        <v>603.58907864284026</v>
      </c>
      <c r="AC39" s="160">
        <f t="shared" si="1"/>
        <v>580.25997346027827</v>
      </c>
      <c r="AD39" s="160">
        <f t="shared" si="1"/>
        <v>591.75731699634537</v>
      </c>
      <c r="AE39" s="161">
        <f t="shared" si="1"/>
        <v>591.63106011772857</v>
      </c>
      <c r="AF39" s="60"/>
      <c r="AG39" s="61">
        <f t="shared" si="2"/>
        <v>589.55106946942237</v>
      </c>
      <c r="AI39" s="191">
        <f t="shared" si="3"/>
        <v>668.67366433574477</v>
      </c>
      <c r="AJ39" s="192">
        <f t="shared" si="7"/>
        <v>10</v>
      </c>
    </row>
    <row r="40" spans="3:36" x14ac:dyDescent="0.25">
      <c r="C40" s="219" t="s">
        <v>12</v>
      </c>
      <c r="D40" s="20"/>
      <c r="E40" s="213">
        <v>435.75907881679689</v>
      </c>
      <c r="F40" s="214">
        <v>396.50840297969739</v>
      </c>
      <c r="G40" s="214">
        <v>382.85245573190463</v>
      </c>
      <c r="H40" s="214">
        <v>414.24043257194018</v>
      </c>
      <c r="I40" s="214">
        <v>423.39688455081472</v>
      </c>
      <c r="J40" s="214">
        <v>442.90325467249238</v>
      </c>
      <c r="K40" s="214">
        <v>350.07965999651958</v>
      </c>
      <c r="L40" s="214">
        <v>395.92773242733301</v>
      </c>
      <c r="M40" s="214">
        <v>433.98923901013148</v>
      </c>
      <c r="N40" s="215">
        <v>396.4816884200128</v>
      </c>
      <c r="O40" s="60"/>
      <c r="P40" s="61">
        <f t="shared" si="4"/>
        <v>407.21388291776429</v>
      </c>
      <c r="R40" s="191">
        <f t="shared" si="5"/>
        <v>956.61308980795661</v>
      </c>
      <c r="S40" s="192">
        <f t="shared" si="6"/>
        <v>10</v>
      </c>
      <c r="U40" s="60"/>
      <c r="V40" s="159">
        <f t="shared" si="1"/>
        <v>607.70895191040199</v>
      </c>
      <c r="W40" s="160">
        <f t="shared" si="1"/>
        <v>598.26972337373411</v>
      </c>
      <c r="X40" s="160">
        <f t="shared" si="1"/>
        <v>594.7649681883355</v>
      </c>
      <c r="Y40" s="160">
        <f t="shared" si="1"/>
        <v>602.6446560257076</v>
      </c>
      <c r="Z40" s="160">
        <f t="shared" si="1"/>
        <v>604.83100005036761</v>
      </c>
      <c r="AA40" s="160">
        <f t="shared" si="1"/>
        <v>609.33513594514693</v>
      </c>
      <c r="AB40" s="160">
        <f t="shared" si="1"/>
        <v>585.81607285765665</v>
      </c>
      <c r="AC40" s="160">
        <f t="shared" si="1"/>
        <v>598.12317007300771</v>
      </c>
      <c r="AD40" s="160">
        <f t="shared" si="1"/>
        <v>607.30197388854754</v>
      </c>
      <c r="AE40" s="161">
        <f t="shared" si="1"/>
        <v>598.26298569567621</v>
      </c>
      <c r="AF40" s="60"/>
      <c r="AG40" s="61">
        <f t="shared" si="2"/>
        <v>600.7058638008582</v>
      </c>
      <c r="AI40" s="191">
        <f t="shared" si="3"/>
        <v>88.657888630187998</v>
      </c>
      <c r="AJ40" s="192">
        <f t="shared" si="7"/>
        <v>10</v>
      </c>
    </row>
    <row r="41" spans="3:36" x14ac:dyDescent="0.25">
      <c r="C41" s="219" t="s">
        <v>13</v>
      </c>
      <c r="D41" s="20"/>
      <c r="E41" s="213">
        <v>648.09234472850108</v>
      </c>
      <c r="F41" s="214">
        <v>605.84944169791117</v>
      </c>
      <c r="G41" s="214">
        <v>509.07728245787911</v>
      </c>
      <c r="H41" s="214">
        <v>568.01241915908906</v>
      </c>
      <c r="I41" s="214">
        <v>493.67136866698792</v>
      </c>
      <c r="J41" s="214">
        <v>463.90439604674185</v>
      </c>
      <c r="K41" s="214">
        <v>504.99355513495584</v>
      </c>
      <c r="L41" s="214">
        <v>507.32910967928933</v>
      </c>
      <c r="M41" s="214">
        <v>400.26245338662358</v>
      </c>
      <c r="N41" s="215">
        <v>437.11166350980409</v>
      </c>
      <c r="O41" s="60"/>
      <c r="P41" s="61">
        <f t="shared" si="4"/>
        <v>513.8304034467784</v>
      </c>
      <c r="R41" s="191">
        <f t="shared" si="5"/>
        <v>93771.83894838026</v>
      </c>
      <c r="S41" s="192">
        <f t="shared" si="6"/>
        <v>10</v>
      </c>
      <c r="U41" s="60"/>
      <c r="V41" s="159">
        <f t="shared" si="1"/>
        <v>647.40331934961443</v>
      </c>
      <c r="W41" s="160">
        <f t="shared" si="1"/>
        <v>640.66315091584329</v>
      </c>
      <c r="X41" s="160">
        <f t="shared" si="1"/>
        <v>623.25998369660431</v>
      </c>
      <c r="Y41" s="160">
        <f t="shared" si="1"/>
        <v>634.21432831988284</v>
      </c>
      <c r="Z41" s="160">
        <f t="shared" si="1"/>
        <v>620.18700502004901</v>
      </c>
      <c r="AA41" s="160">
        <f t="shared" si="1"/>
        <v>613.96784879937684</v>
      </c>
      <c r="AB41" s="160">
        <f t="shared" si="1"/>
        <v>622.45456670849251</v>
      </c>
      <c r="AC41" s="160">
        <f t="shared" si="1"/>
        <v>622.91599245137866</v>
      </c>
      <c r="AD41" s="160">
        <f t="shared" si="1"/>
        <v>599.21204654130895</v>
      </c>
      <c r="AE41" s="161">
        <f t="shared" si="1"/>
        <v>608.01886853609028</v>
      </c>
      <c r="AF41" s="60"/>
      <c r="AG41" s="61">
        <f t="shared" si="2"/>
        <v>623.22971103386408</v>
      </c>
      <c r="AI41" s="191">
        <f t="shared" si="3"/>
        <v>6503.2113117255867</v>
      </c>
      <c r="AJ41" s="192">
        <f t="shared" si="7"/>
        <v>10</v>
      </c>
    </row>
    <row r="42" spans="3:36" x14ac:dyDescent="0.25">
      <c r="C42" s="219" t="s">
        <v>14</v>
      </c>
      <c r="D42" s="20"/>
      <c r="E42" s="213">
        <v>509.88659187329466</v>
      </c>
      <c r="F42" s="214">
        <v>503.75319507651602</v>
      </c>
      <c r="G42" s="214">
        <v>457.19412705180667</v>
      </c>
      <c r="H42" s="214">
        <v>583.30330320538962</v>
      </c>
      <c r="I42" s="214">
        <v>442.02312416680303</v>
      </c>
      <c r="J42" s="214">
        <v>447.43941312176406</v>
      </c>
      <c r="K42" s="214">
        <v>531.741590675569</v>
      </c>
      <c r="L42" s="214">
        <v>516.87488151664456</v>
      </c>
      <c r="M42" s="214">
        <v>494.2564063537468</v>
      </c>
      <c r="N42" s="215">
        <v>509.59646862828987</v>
      </c>
      <c r="O42" s="60"/>
      <c r="P42" s="61">
        <f t="shared" si="4"/>
        <v>499.6069101669824</v>
      </c>
      <c r="R42" s="191">
        <f t="shared" si="5"/>
        <v>68248.032314290918</v>
      </c>
      <c r="S42" s="192">
        <f t="shared" si="6"/>
        <v>10</v>
      </c>
      <c r="U42" s="60"/>
      <c r="V42" s="159">
        <f t="shared" si="1"/>
        <v>623.41883321148543</v>
      </c>
      <c r="W42" s="160">
        <f t="shared" si="1"/>
        <v>622.2086455824433</v>
      </c>
      <c r="X42" s="160">
        <f t="shared" si="1"/>
        <v>612.5108086369662</v>
      </c>
      <c r="Y42" s="160">
        <f t="shared" si="1"/>
        <v>636.87072967049664</v>
      </c>
      <c r="Z42" s="160">
        <f t="shared" si="1"/>
        <v>609.13621978286687</v>
      </c>
      <c r="AA42" s="160">
        <f t="shared" si="1"/>
        <v>610.35411388768659</v>
      </c>
      <c r="AB42" s="160">
        <f t="shared" si="1"/>
        <v>627.61576395228929</v>
      </c>
      <c r="AC42" s="160">
        <f t="shared" si="1"/>
        <v>624.78008365477376</v>
      </c>
      <c r="AD42" s="160">
        <f t="shared" si="1"/>
        <v>620.30544237345464</v>
      </c>
      <c r="AE42" s="161">
        <f t="shared" si="1"/>
        <v>623.36191745406347</v>
      </c>
      <c r="AF42" s="60"/>
      <c r="AG42" s="61">
        <f t="shared" si="2"/>
        <v>621.05625582065272</v>
      </c>
      <c r="AI42" s="191">
        <f t="shared" si="3"/>
        <v>5441.9276026692514</v>
      </c>
      <c r="AJ42" s="192">
        <f t="shared" si="7"/>
        <v>10</v>
      </c>
    </row>
    <row r="43" spans="3:36" x14ac:dyDescent="0.25">
      <c r="C43" s="219" t="s">
        <v>15</v>
      </c>
      <c r="D43" s="20"/>
      <c r="E43" s="213">
        <v>249.32485595106789</v>
      </c>
      <c r="F43" s="214">
        <v>272.15991293262857</v>
      </c>
      <c r="G43" s="214">
        <v>285.98133015088513</v>
      </c>
      <c r="H43" s="214">
        <v>237.57743797913281</v>
      </c>
      <c r="I43" s="214">
        <v>299.00936610469097</v>
      </c>
      <c r="J43" s="214">
        <v>259.76267742797353</v>
      </c>
      <c r="K43" s="214">
        <v>316.98432810237972</v>
      </c>
      <c r="L43" s="214">
        <v>298.0977064847512</v>
      </c>
      <c r="M43" s="214">
        <v>258.64513959238707</v>
      </c>
      <c r="N43" s="215">
        <v>267.55437452930613</v>
      </c>
      <c r="O43" s="60"/>
      <c r="P43" s="61">
        <f t="shared" si="4"/>
        <v>274.50971292552032</v>
      </c>
      <c r="R43" s="191">
        <f t="shared" si="5"/>
        <v>203019.2676255226</v>
      </c>
      <c r="S43" s="192">
        <f t="shared" si="6"/>
        <v>10</v>
      </c>
      <c r="U43" s="60"/>
      <c r="V43" s="159">
        <f t="shared" si="1"/>
        <v>551.87566885320962</v>
      </c>
      <c r="W43" s="160">
        <f t="shared" si="1"/>
        <v>560.63898087350537</v>
      </c>
      <c r="X43" s="160">
        <f t="shared" si="1"/>
        <v>565.59265294963643</v>
      </c>
      <c r="Y43" s="160">
        <f t="shared" si="1"/>
        <v>547.04936249794105</v>
      </c>
      <c r="Z43" s="160">
        <f t="shared" si="1"/>
        <v>570.04748976649284</v>
      </c>
      <c r="AA43" s="160">
        <f t="shared" si="1"/>
        <v>555.97684350558131</v>
      </c>
      <c r="AB43" s="160">
        <f t="shared" si="1"/>
        <v>575.8852334492334</v>
      </c>
      <c r="AC43" s="160">
        <f t="shared" si="1"/>
        <v>569.74213068763379</v>
      </c>
      <c r="AD43" s="160">
        <f t="shared" si="1"/>
        <v>555.54570048265566</v>
      </c>
      <c r="AE43" s="161">
        <f t="shared" si="1"/>
        <v>558.93228149480967</v>
      </c>
      <c r="AF43" s="60"/>
      <c r="AG43" s="61">
        <f t="shared" si="2"/>
        <v>561.1286344560699</v>
      </c>
      <c r="AI43" s="191">
        <f t="shared" si="3"/>
        <v>13395.367142340545</v>
      </c>
      <c r="AJ43" s="192">
        <f t="shared" si="7"/>
        <v>10</v>
      </c>
    </row>
    <row r="44" spans="3:36" x14ac:dyDescent="0.25">
      <c r="C44" s="219" t="s">
        <v>16</v>
      </c>
      <c r="D44" s="20"/>
      <c r="E44" s="213">
        <v>335.52584324736887</v>
      </c>
      <c r="F44" s="214">
        <v>292.65210968495842</v>
      </c>
      <c r="G44" s="214">
        <v>290.77836067702009</v>
      </c>
      <c r="H44" s="214">
        <v>348.20663384273956</v>
      </c>
      <c r="I44" s="214">
        <v>387.07943677488606</v>
      </c>
      <c r="J44" s="214">
        <v>309.74425148888417</v>
      </c>
      <c r="K44" s="214">
        <v>390.59758010879824</v>
      </c>
      <c r="L44" s="214">
        <v>389.63886363350935</v>
      </c>
      <c r="M44" s="214">
        <v>377.29569364470655</v>
      </c>
      <c r="N44" s="215">
        <v>354.80170983029643</v>
      </c>
      <c r="O44" s="60"/>
      <c r="P44" s="61">
        <f t="shared" si="4"/>
        <v>347.63204829331681</v>
      </c>
      <c r="R44" s="191">
        <f t="shared" si="5"/>
        <v>48111.556530460432</v>
      </c>
      <c r="S44" s="192">
        <f t="shared" si="6"/>
        <v>10</v>
      </c>
      <c r="U44" s="60"/>
      <c r="V44" s="159">
        <f t="shared" si="1"/>
        <v>581.56989824984123</v>
      </c>
      <c r="W44" s="160">
        <f t="shared" si="1"/>
        <v>567.89845646125218</v>
      </c>
      <c r="X44" s="160">
        <f t="shared" si="1"/>
        <v>567.25613298129258</v>
      </c>
      <c r="Y44" s="160">
        <f t="shared" si="1"/>
        <v>585.27960789697784</v>
      </c>
      <c r="Z44" s="160">
        <f t="shared" si="1"/>
        <v>595.86299349504191</v>
      </c>
      <c r="AA44" s="160">
        <f t="shared" si="1"/>
        <v>573.57469617862216</v>
      </c>
      <c r="AB44" s="160">
        <f t="shared" si="1"/>
        <v>596.76778231054107</v>
      </c>
      <c r="AC44" s="160">
        <f t="shared" si="1"/>
        <v>596.52203194461595</v>
      </c>
      <c r="AD44" s="160">
        <f t="shared" si="1"/>
        <v>593.30292132944919</v>
      </c>
      <c r="AE44" s="161">
        <f t="shared" si="1"/>
        <v>587.15590695621904</v>
      </c>
      <c r="AF44" s="60"/>
      <c r="AG44" s="61">
        <f t="shared" si="2"/>
        <v>584.51904278038523</v>
      </c>
      <c r="AI44" s="191">
        <f t="shared" si="3"/>
        <v>1744.849080554493</v>
      </c>
      <c r="AJ44" s="192">
        <f t="shared" si="7"/>
        <v>10</v>
      </c>
    </row>
    <row r="45" spans="3:36" x14ac:dyDescent="0.25">
      <c r="C45" s="219" t="s">
        <v>17</v>
      </c>
      <c r="D45" s="20"/>
      <c r="E45" s="213">
        <v>479.66446386426537</v>
      </c>
      <c r="F45" s="214">
        <v>456.38421187702926</v>
      </c>
      <c r="G45" s="214">
        <v>459.26381187410834</v>
      </c>
      <c r="H45" s="214">
        <v>491.97523616098329</v>
      </c>
      <c r="I45" s="214">
        <v>457.9951475540804</v>
      </c>
      <c r="J45" s="214">
        <v>420.92768955009331</v>
      </c>
      <c r="K45" s="214">
        <v>508.96627675867177</v>
      </c>
      <c r="L45" s="214">
        <v>441.36445709378495</v>
      </c>
      <c r="M45" s="214">
        <v>468.79961802464317</v>
      </c>
      <c r="N45" s="215">
        <v>486.67096375452019</v>
      </c>
      <c r="O45" s="60"/>
      <c r="P45" s="61">
        <f t="shared" si="4"/>
        <v>467.20118765121799</v>
      </c>
      <c r="R45" s="191">
        <f t="shared" si="5"/>
        <v>25207.071808058157</v>
      </c>
      <c r="S45" s="192">
        <f t="shared" si="6"/>
        <v>10</v>
      </c>
      <c r="U45" s="60"/>
      <c r="V45" s="159">
        <f t="shared" si="1"/>
        <v>617.3086825847904</v>
      </c>
      <c r="W45" s="160">
        <f t="shared" si="1"/>
        <v>612.333502465739</v>
      </c>
      <c r="X45" s="160">
        <f t="shared" si="1"/>
        <v>612.96247984913532</v>
      </c>
      <c r="Y45" s="160">
        <f t="shared" si="1"/>
        <v>619.84283822194288</v>
      </c>
      <c r="Z45" s="160">
        <f t="shared" si="1"/>
        <v>612.68585891979728</v>
      </c>
      <c r="AA45" s="160">
        <f t="shared" si="1"/>
        <v>604.24610601417749</v>
      </c>
      <c r="AB45" s="160">
        <f t="shared" si="1"/>
        <v>623.23817604433987</v>
      </c>
      <c r="AC45" s="160">
        <f t="shared" si="1"/>
        <v>608.98709674581028</v>
      </c>
      <c r="AD45" s="160">
        <f t="shared" si="1"/>
        <v>615.01754234686211</v>
      </c>
      <c r="AE45" s="161">
        <f t="shared" si="1"/>
        <v>618.75882556278668</v>
      </c>
      <c r="AF45" s="60"/>
      <c r="AG45" s="61">
        <f t="shared" si="2"/>
        <v>614.53811087553811</v>
      </c>
      <c r="AI45" s="191">
        <f t="shared" si="3"/>
        <v>2825.691922217502</v>
      </c>
      <c r="AJ45" s="192">
        <f t="shared" si="7"/>
        <v>10</v>
      </c>
    </row>
    <row r="46" spans="3:36" x14ac:dyDescent="0.25">
      <c r="C46" s="219" t="s">
        <v>18</v>
      </c>
      <c r="D46" s="20"/>
      <c r="E46" s="213">
        <v>357.54110781674973</v>
      </c>
      <c r="F46" s="214">
        <v>298.42244452083912</v>
      </c>
      <c r="G46" s="214">
        <v>270.57192164365449</v>
      </c>
      <c r="H46" s="214">
        <v>362.7488327516636</v>
      </c>
      <c r="I46" s="214">
        <v>321.25643719244226</v>
      </c>
      <c r="J46" s="214">
        <v>299.86655115915306</v>
      </c>
      <c r="K46" s="214">
        <v>366.13151959593313</v>
      </c>
      <c r="L46" s="214">
        <v>330.66196693840698</v>
      </c>
      <c r="M46" s="214">
        <v>265.5910714195993</v>
      </c>
      <c r="N46" s="215">
        <v>327.69725549049588</v>
      </c>
      <c r="O46" s="60"/>
      <c r="P46" s="61">
        <f t="shared" si="4"/>
        <v>320.04891085289375</v>
      </c>
      <c r="R46" s="191">
        <f t="shared" si="5"/>
        <v>93984.555660020633</v>
      </c>
      <c r="S46" s="192">
        <f t="shared" si="6"/>
        <v>10</v>
      </c>
      <c r="U46" s="60"/>
      <c r="V46" s="159">
        <f t="shared" si="1"/>
        <v>587.92503424235747</v>
      </c>
      <c r="W46" s="160">
        <f t="shared" si="1"/>
        <v>569.85100817236582</v>
      </c>
      <c r="X46" s="160">
        <f t="shared" si="1"/>
        <v>560.05379470256821</v>
      </c>
      <c r="Y46" s="160">
        <f t="shared" si="1"/>
        <v>589.37106739828653</v>
      </c>
      <c r="Z46" s="160">
        <f t="shared" si="1"/>
        <v>577.22396739618</v>
      </c>
      <c r="AA46" s="160">
        <f t="shared" si="1"/>
        <v>570.33375462207334</v>
      </c>
      <c r="AB46" s="160">
        <f t="shared" si="1"/>
        <v>590.29926120113635</v>
      </c>
      <c r="AC46" s="160">
        <f t="shared" si="1"/>
        <v>580.10966056278767</v>
      </c>
      <c r="AD46" s="160">
        <f t="shared" si="1"/>
        <v>558.19578003941524</v>
      </c>
      <c r="AE46" s="161">
        <f t="shared" si="1"/>
        <v>579.20901806025506</v>
      </c>
      <c r="AF46" s="60"/>
      <c r="AG46" s="61">
        <f t="shared" si="2"/>
        <v>576.25723463974259</v>
      </c>
      <c r="AI46" s="191">
        <f t="shared" si="3"/>
        <v>4610.0734951357244</v>
      </c>
      <c r="AJ46" s="192">
        <f t="shared" si="7"/>
        <v>10</v>
      </c>
    </row>
    <row r="47" spans="3:36" x14ac:dyDescent="0.25">
      <c r="C47" s="219" t="s">
        <v>19</v>
      </c>
      <c r="D47" s="20"/>
      <c r="E47" s="213">
        <v>775.36620712495733</v>
      </c>
      <c r="F47" s="214">
        <v>708.62381094854993</v>
      </c>
      <c r="G47" s="214">
        <v>604.01915288204577</v>
      </c>
      <c r="H47" s="214">
        <v>576.40178084826709</v>
      </c>
      <c r="I47" s="214">
        <v>722.85890264052034</v>
      </c>
      <c r="J47" s="214">
        <v>577.06066775382419</v>
      </c>
      <c r="K47" s="214">
        <v>646.37724636859002</v>
      </c>
      <c r="L47" s="214">
        <v>740.5099357185286</v>
      </c>
      <c r="M47" s="214">
        <v>637.88338985405517</v>
      </c>
      <c r="N47" s="215">
        <v>564.05840284628493</v>
      </c>
      <c r="O47" s="60"/>
      <c r="P47" s="61">
        <f t="shared" si="4"/>
        <v>655.31594969856235</v>
      </c>
      <c r="R47" s="191">
        <f t="shared" si="5"/>
        <v>567970.92955680611</v>
      </c>
      <c r="S47" s="192">
        <f t="shared" si="6"/>
        <v>10</v>
      </c>
      <c r="U47" s="60"/>
      <c r="V47" s="159">
        <f t="shared" si="1"/>
        <v>665.3335443070938</v>
      </c>
      <c r="W47" s="160">
        <f t="shared" si="1"/>
        <v>656.33247946731183</v>
      </c>
      <c r="X47" s="160">
        <f t="shared" si="1"/>
        <v>640.36059075016738</v>
      </c>
      <c r="Y47" s="160">
        <f t="shared" si="1"/>
        <v>635.6804953725499</v>
      </c>
      <c r="Z47" s="160">
        <f t="shared" si="1"/>
        <v>658.32140477061682</v>
      </c>
      <c r="AA47" s="160">
        <f t="shared" si="1"/>
        <v>635.7947404401757</v>
      </c>
      <c r="AB47" s="160">
        <f t="shared" si="1"/>
        <v>647.138330604369</v>
      </c>
      <c r="AC47" s="160">
        <f t="shared" si="1"/>
        <v>660.73390511985656</v>
      </c>
      <c r="AD47" s="160">
        <f t="shared" si="1"/>
        <v>645.81554921160671</v>
      </c>
      <c r="AE47" s="161">
        <f t="shared" si="1"/>
        <v>633.51577972829045</v>
      </c>
      <c r="AF47" s="60"/>
      <c r="AG47" s="61">
        <f t="shared" si="2"/>
        <v>647.90268197720377</v>
      </c>
      <c r="AI47" s="191">
        <f t="shared" si="3"/>
        <v>25174.669667816412</v>
      </c>
      <c r="AJ47" s="192">
        <f t="shared" si="7"/>
        <v>10</v>
      </c>
    </row>
    <row r="48" spans="3:36" x14ac:dyDescent="0.25">
      <c r="C48" s="219" t="s">
        <v>20</v>
      </c>
      <c r="D48" s="20"/>
      <c r="E48" s="213">
        <v>208.29532521626069</v>
      </c>
      <c r="F48" s="214">
        <v>269.12070046707902</v>
      </c>
      <c r="G48" s="214">
        <v>278.48203638621538</v>
      </c>
      <c r="H48" s="214">
        <v>264.19820005714678</v>
      </c>
      <c r="I48" s="214">
        <v>238.39905419203768</v>
      </c>
      <c r="J48" s="214">
        <v>278.22212379860088</v>
      </c>
      <c r="K48" s="214">
        <v>297.8137259373072</v>
      </c>
      <c r="L48" s="214">
        <v>283.39943029535203</v>
      </c>
      <c r="M48" s="214">
        <v>273.72334324716047</v>
      </c>
      <c r="N48" s="215">
        <v>238.03641650468705</v>
      </c>
      <c r="O48" s="60"/>
      <c r="P48" s="61">
        <f t="shared" si="4"/>
        <v>262.96903561018473</v>
      </c>
      <c r="R48" s="191">
        <f t="shared" si="5"/>
        <v>237238.56884746224</v>
      </c>
      <c r="S48" s="192">
        <f t="shared" si="6"/>
        <v>10</v>
      </c>
      <c r="U48" s="60"/>
      <c r="V48" s="159">
        <f t="shared" si="1"/>
        <v>533.89569054623314</v>
      </c>
      <c r="W48" s="160">
        <f t="shared" si="1"/>
        <v>559.51599795869299</v>
      </c>
      <c r="X48" s="160">
        <f t="shared" si="1"/>
        <v>562.93535559808117</v>
      </c>
      <c r="Y48" s="160">
        <f t="shared" si="1"/>
        <v>557.66995792608793</v>
      </c>
      <c r="Z48" s="160">
        <f t="shared" si="1"/>
        <v>547.39459678680464</v>
      </c>
      <c r="AA48" s="160">
        <f t="shared" si="1"/>
        <v>562.84198011246849</v>
      </c>
      <c r="AB48" s="160">
        <f t="shared" si="1"/>
        <v>569.64682103136931</v>
      </c>
      <c r="AC48" s="160">
        <f t="shared" si="1"/>
        <v>564.6857317005273</v>
      </c>
      <c r="AD48" s="160">
        <f t="shared" si="1"/>
        <v>561.21179001232542</v>
      </c>
      <c r="AE48" s="161">
        <f t="shared" si="1"/>
        <v>547.2423672490454</v>
      </c>
      <c r="AF48" s="60"/>
      <c r="AG48" s="61">
        <f t="shared" si="2"/>
        <v>556.70402889216371</v>
      </c>
      <c r="AI48" s="191">
        <f t="shared" si="3"/>
        <v>16829.921608595774</v>
      </c>
      <c r="AJ48" s="192">
        <f t="shared" si="7"/>
        <v>10</v>
      </c>
    </row>
    <row r="49" spans="3:36" x14ac:dyDescent="0.25">
      <c r="C49" s="219" t="s">
        <v>22</v>
      </c>
      <c r="D49" s="20"/>
      <c r="E49" s="213">
        <v>399.48995067433083</v>
      </c>
      <c r="F49" s="214">
        <v>312.56297685591773</v>
      </c>
      <c r="G49" s="214">
        <v>449.92470566121381</v>
      </c>
      <c r="H49" s="214">
        <v>355.11607678559182</v>
      </c>
      <c r="I49" s="214">
        <v>423.7425019048091</v>
      </c>
      <c r="J49" s="214">
        <v>396.19202595123187</v>
      </c>
      <c r="K49" s="214">
        <v>448.40419895861174</v>
      </c>
      <c r="L49" s="214">
        <v>382.683496057963</v>
      </c>
      <c r="M49" s="214">
        <v>397.08271338552964</v>
      </c>
      <c r="N49" s="215">
        <v>412.09404397311363</v>
      </c>
      <c r="O49" s="60"/>
      <c r="P49" s="61">
        <f t="shared" si="4"/>
        <v>397.72926902083128</v>
      </c>
      <c r="R49" s="191">
        <f t="shared" si="5"/>
        <v>3711.507762461672</v>
      </c>
      <c r="S49" s="192">
        <f t="shared" si="6"/>
        <v>10</v>
      </c>
      <c r="U49" s="60"/>
      <c r="V49" s="159">
        <f t="shared" si="1"/>
        <v>599.01886101323237</v>
      </c>
      <c r="W49" s="160">
        <f t="shared" si="1"/>
        <v>574.4805974811768</v>
      </c>
      <c r="X49" s="160">
        <f t="shared" si="1"/>
        <v>610.90802480118282</v>
      </c>
      <c r="Y49" s="160">
        <f t="shared" si="1"/>
        <v>587.24447128909537</v>
      </c>
      <c r="Z49" s="160">
        <f t="shared" si="1"/>
        <v>604.91259639181885</v>
      </c>
      <c r="AA49" s="160">
        <f t="shared" si="1"/>
        <v>598.18990077399349</v>
      </c>
      <c r="AB49" s="160">
        <f t="shared" si="1"/>
        <v>610.56950554686375</v>
      </c>
      <c r="AC49" s="160">
        <f t="shared" si="1"/>
        <v>594.72082664898915</v>
      </c>
      <c r="AD49" s="160">
        <f t="shared" si="1"/>
        <v>598.41446050454329</v>
      </c>
      <c r="AE49" s="161">
        <f t="shared" si="1"/>
        <v>602.12515853723676</v>
      </c>
      <c r="AF49" s="60"/>
      <c r="AG49" s="61">
        <f t="shared" si="2"/>
        <v>598.05844029881314</v>
      </c>
      <c r="AI49" s="191">
        <f t="shared" si="3"/>
        <v>1.0898182611534553</v>
      </c>
      <c r="AJ49" s="192">
        <f t="shared" si="7"/>
        <v>10</v>
      </c>
    </row>
    <row r="50" spans="3:36" x14ac:dyDescent="0.25">
      <c r="C50" s="219" t="s">
        <v>21</v>
      </c>
      <c r="D50" s="20"/>
      <c r="E50" s="213">
        <v>261.44126362856531</v>
      </c>
      <c r="F50" s="214">
        <v>289.34129870572133</v>
      </c>
      <c r="G50" s="214">
        <v>256.9536564110872</v>
      </c>
      <c r="H50" s="214">
        <v>248.22442306912228</v>
      </c>
      <c r="I50" s="214">
        <v>228.41431149439617</v>
      </c>
      <c r="J50" s="214">
        <v>241.66993250511882</v>
      </c>
      <c r="K50" s="214">
        <v>251.41503438442484</v>
      </c>
      <c r="L50" s="214">
        <v>265.53943989630324</v>
      </c>
      <c r="M50" s="214">
        <v>304.51907885405302</v>
      </c>
      <c r="N50" s="215">
        <v>251.70877786702152</v>
      </c>
      <c r="O50" s="60"/>
      <c r="P50" s="61">
        <f t="shared" si="4"/>
        <v>259.92272168158138</v>
      </c>
      <c r="R50" s="191">
        <f t="shared" si="5"/>
        <v>246715.57009511846</v>
      </c>
      <c r="S50" s="192">
        <f t="shared" si="6"/>
        <v>10</v>
      </c>
      <c r="U50" s="60"/>
      <c r="V50" s="159">
        <f t="shared" si="1"/>
        <v>556.62096450005527</v>
      </c>
      <c r="W50" s="160">
        <f t="shared" si="1"/>
        <v>566.76069557021935</v>
      </c>
      <c r="X50" s="160">
        <f t="shared" si="1"/>
        <v>554.88957433859798</v>
      </c>
      <c r="Y50" s="160">
        <f t="shared" si="1"/>
        <v>551.43332686914448</v>
      </c>
      <c r="Z50" s="160">
        <f t="shared" si="1"/>
        <v>543.11611356016329</v>
      </c>
      <c r="AA50" s="160">
        <f t="shared" si="1"/>
        <v>548.75728799095396</v>
      </c>
      <c r="AB50" s="160">
        <f t="shared" si="1"/>
        <v>552.710509701094</v>
      </c>
      <c r="AC50" s="160">
        <f t="shared" si="1"/>
        <v>558.17633791648734</v>
      </c>
      <c r="AD50" s="160">
        <f t="shared" si="1"/>
        <v>571.87337415222748</v>
      </c>
      <c r="AE50" s="161">
        <f t="shared" si="1"/>
        <v>552.82727758558667</v>
      </c>
      <c r="AF50" s="60"/>
      <c r="AG50" s="61">
        <f t="shared" si="2"/>
        <v>555.716546218453</v>
      </c>
      <c r="AI50" s="191">
        <f t="shared" si="3"/>
        <v>17649.888290087707</v>
      </c>
      <c r="AJ50" s="192">
        <f t="shared" si="7"/>
        <v>10</v>
      </c>
    </row>
    <row r="51" spans="3:36" x14ac:dyDescent="0.25">
      <c r="C51" s="219" t="s">
        <v>23</v>
      </c>
      <c r="D51" s="20"/>
      <c r="E51" s="216">
        <v>543.78940592632011</v>
      </c>
      <c r="F51" s="217">
        <v>510.79539485751781</v>
      </c>
      <c r="G51" s="217">
        <v>448.1429409968141</v>
      </c>
      <c r="H51" s="217">
        <v>512.1218143859054</v>
      </c>
      <c r="I51" s="217">
        <v>518.75397695052857</v>
      </c>
      <c r="J51" s="217">
        <v>464.34589155309311</v>
      </c>
      <c r="K51" s="217">
        <v>520.64993439466127</v>
      </c>
      <c r="L51" s="217">
        <v>507.3685203988411</v>
      </c>
      <c r="M51" s="217">
        <v>503.24878872418935</v>
      </c>
      <c r="N51" s="218">
        <v>458.46080851823007</v>
      </c>
      <c r="O51" s="60"/>
      <c r="P51" s="61">
        <f t="shared" si="4"/>
        <v>498.76774767061005</v>
      </c>
      <c r="R51" s="191">
        <f t="shared" si="5"/>
        <v>66868.570243697424</v>
      </c>
      <c r="S51" s="192">
        <f t="shared" si="6"/>
        <v>10</v>
      </c>
      <c r="U51" s="60"/>
      <c r="V51" s="162">
        <f t="shared" si="1"/>
        <v>629.85620504461167</v>
      </c>
      <c r="W51" s="163">
        <f t="shared" si="1"/>
        <v>623.59691085686404</v>
      </c>
      <c r="X51" s="163">
        <f t="shared" si="1"/>
        <v>610.51122462496915</v>
      </c>
      <c r="Y51" s="163">
        <f t="shared" si="1"/>
        <v>623.8562515463808</v>
      </c>
      <c r="Z51" s="163">
        <f t="shared" si="1"/>
        <v>625.14297379261791</v>
      </c>
      <c r="AA51" s="163">
        <f t="shared" si="1"/>
        <v>614.0629730445379</v>
      </c>
      <c r="AB51" s="163">
        <f t="shared" si="1"/>
        <v>625.50779049692926</v>
      </c>
      <c r="AC51" s="163">
        <f t="shared" si="1"/>
        <v>622.92376042449757</v>
      </c>
      <c r="AD51" s="163">
        <f t="shared" si="1"/>
        <v>622.10846576102767</v>
      </c>
      <c r="AE51" s="164">
        <f t="shared" si="1"/>
        <v>612.78748104383681</v>
      </c>
      <c r="AF51" s="60"/>
      <c r="AG51" s="61">
        <f t="shared" si="2"/>
        <v>621.03540366362722</v>
      </c>
      <c r="AI51" s="191">
        <f t="shared" si="3"/>
        <v>5432.2031936524445</v>
      </c>
      <c r="AJ51" s="192">
        <f t="shared" si="7"/>
        <v>10</v>
      </c>
    </row>
    <row r="52" spans="3:36" x14ac:dyDescent="0.25">
      <c r="D52" s="62"/>
      <c r="E52" s="62"/>
      <c r="F52" s="62"/>
      <c r="G52" s="62"/>
      <c r="H52" s="62"/>
      <c r="I52" s="62"/>
      <c r="J52" s="62"/>
      <c r="K52" s="62"/>
      <c r="L52" s="62"/>
      <c r="M52" s="62"/>
      <c r="N52" s="62"/>
      <c r="O52" s="62"/>
      <c r="P52" s="62"/>
      <c r="R52" s="191"/>
      <c r="S52" s="192"/>
      <c r="U52" s="62"/>
      <c r="V52" s="62"/>
      <c r="W52" s="62"/>
      <c r="X52" s="62"/>
      <c r="Y52" s="62"/>
      <c r="Z52" s="62"/>
      <c r="AA52" s="62"/>
      <c r="AB52" s="62"/>
      <c r="AF52" s="62"/>
      <c r="AG52" s="62"/>
      <c r="AI52" s="191"/>
      <c r="AJ52" s="192"/>
    </row>
    <row r="53" spans="3:36" x14ac:dyDescent="0.25">
      <c r="F53" s="60"/>
      <c r="G53" s="60"/>
      <c r="H53" s="60"/>
      <c r="I53" s="60"/>
      <c r="J53" s="60"/>
      <c r="K53" s="60"/>
      <c r="L53" s="60"/>
      <c r="M53" s="60"/>
      <c r="N53" s="60"/>
      <c r="O53" s="41" t="s">
        <v>2</v>
      </c>
      <c r="P53" s="40">
        <f>AVERAGE(P31:P51)</f>
        <v>416.99454286384162</v>
      </c>
      <c r="Q53" s="133" t="s">
        <v>1</v>
      </c>
      <c r="R53" s="191">
        <f>SUM(R32:R51)</f>
        <v>3399099.5251784353</v>
      </c>
      <c r="S53" s="192">
        <f>1/(E67-1)*(G67-SUMPRODUCT(S32:S51,S32:S51)/G67)</f>
        <v>10</v>
      </c>
      <c r="U53" s="60"/>
      <c r="V53" s="60"/>
      <c r="W53" s="60"/>
      <c r="X53" s="60"/>
      <c r="Y53" s="60"/>
      <c r="Z53" s="60"/>
      <c r="AA53" s="60"/>
      <c r="AB53" s="60"/>
      <c r="AC53" s="60"/>
      <c r="AD53" s="60"/>
      <c r="AE53" s="60"/>
      <c r="AF53" s="41" t="s">
        <v>2</v>
      </c>
      <c r="AG53" s="40">
        <f>AVERAGE(AG31:AG51)</f>
        <v>597.72831634313047</v>
      </c>
      <c r="AH53" s="133" t="s">
        <v>1</v>
      </c>
      <c r="AI53" s="191">
        <f>SUM(AI32:AI51)</f>
        <v>211102.80782706081</v>
      </c>
      <c r="AJ53" s="192">
        <f>1/(V71-1)*(X71-SUMPRODUCT(AJ32:AJ51,AJ32:AJ51)/X71)</f>
        <v>10</v>
      </c>
    </row>
    <row r="54" spans="3:36" x14ac:dyDescent="0.25">
      <c r="D54" s="63" t="s">
        <v>2</v>
      </c>
      <c r="E54" s="64">
        <f t="shared" ref="E54:N54" si="8">AVERAGE(E32:E51)</f>
        <v>456.57090413000799</v>
      </c>
      <c r="F54" s="64">
        <f t="shared" si="8"/>
        <v>419.22398400109222</v>
      </c>
      <c r="G54" s="64">
        <f t="shared" si="8"/>
        <v>399.80606646703438</v>
      </c>
      <c r="H54" s="64">
        <f t="shared" si="8"/>
        <v>419.57432017479039</v>
      </c>
      <c r="I54" s="64">
        <f t="shared" si="8"/>
        <v>410.11888523210911</v>
      </c>
      <c r="J54" s="64">
        <f t="shared" si="8"/>
        <v>391.75863045853629</v>
      </c>
      <c r="K54" s="64">
        <f t="shared" si="8"/>
        <v>439.90823450692579</v>
      </c>
      <c r="L54" s="64">
        <f t="shared" si="8"/>
        <v>427.83923611928992</v>
      </c>
      <c r="M54" s="64">
        <f t="shared" si="8"/>
        <v>400.20161273607039</v>
      </c>
      <c r="N54" s="64">
        <f t="shared" si="8"/>
        <v>404.94355481255928</v>
      </c>
      <c r="O54" s="40">
        <f>AVERAGE(E54:N54)</f>
        <v>416.99454286384162</v>
      </c>
      <c r="P54" s="40">
        <f>AVERAGE(E32:N51)</f>
        <v>416.99454286384133</v>
      </c>
      <c r="Q54" s="134">
        <f>STDEV(E54:N54)</f>
        <v>20.075848246301593</v>
      </c>
      <c r="U54" s="63" t="s">
        <v>2</v>
      </c>
      <c r="V54" s="64">
        <f t="shared" ref="V54:AE54" si="9">AVERAGE(V32:V51)</f>
        <v>604.03357025404898</v>
      </c>
      <c r="W54" s="64">
        <f t="shared" si="9"/>
        <v>597.84075655487095</v>
      </c>
      <c r="X54" s="64">
        <f t="shared" si="9"/>
        <v>594.59662676531173</v>
      </c>
      <c r="Y54" s="64">
        <f t="shared" si="9"/>
        <v>597.56147510730739</v>
      </c>
      <c r="Z54" s="64">
        <f t="shared" si="9"/>
        <v>596.15162971404061</v>
      </c>
      <c r="AA54" s="64">
        <f t="shared" si="9"/>
        <v>592.18174569227881</v>
      </c>
      <c r="AB54" s="64">
        <f t="shared" si="9"/>
        <v>604.0912406560094</v>
      </c>
      <c r="AC54" s="64">
        <f t="shared" si="9"/>
        <v>600.75337140636907</v>
      </c>
      <c r="AD54" s="64">
        <f t="shared" si="9"/>
        <v>594.45757603403388</v>
      </c>
      <c r="AE54" s="64">
        <f t="shared" si="9"/>
        <v>595.61517124703312</v>
      </c>
      <c r="AF54" s="40">
        <f>AVERAGE(V54:AE54)</f>
        <v>597.72831634313047</v>
      </c>
      <c r="AG54" s="40">
        <f>AVERAGE(V32:AE51)</f>
        <v>597.72831634313081</v>
      </c>
      <c r="AH54" s="134">
        <f>STDEV(V54:AE54)</f>
        <v>4.0504521053164151</v>
      </c>
    </row>
    <row r="55" spans="3:36" ht="13.8" thickBot="1" x14ac:dyDescent="0.3">
      <c r="E55" s="43"/>
      <c r="F55" s="43"/>
      <c r="G55" s="43"/>
      <c r="H55" s="43"/>
      <c r="I55" s="43"/>
      <c r="J55" s="43"/>
      <c r="K55" s="43"/>
      <c r="L55" s="43"/>
      <c r="M55" s="43"/>
      <c r="N55" s="43"/>
      <c r="O55" s="130" t="s">
        <v>1</v>
      </c>
      <c r="P55" s="131">
        <f>STDEV(P32:P51)</f>
        <v>133.75349528494255</v>
      </c>
      <c r="Q55" s="132">
        <f>STDEV(E32:N51)</f>
        <v>137.55906623240594</v>
      </c>
      <c r="R55" s="43"/>
      <c r="S55" s="43"/>
      <c r="T55" s="43"/>
      <c r="U55" s="43"/>
      <c r="V55" s="43"/>
      <c r="W55" s="43"/>
      <c r="X55" s="43"/>
      <c r="Y55" s="43"/>
      <c r="AF55" s="130" t="s">
        <v>1</v>
      </c>
      <c r="AG55" s="131">
        <f>STDEV(AG32:AG51)</f>
        <v>33.332677804462541</v>
      </c>
      <c r="AH55" s="132">
        <f>STDEV(V32:AE51)</f>
        <v>33.941679420474685</v>
      </c>
    </row>
    <row r="56" spans="3:36" x14ac:dyDescent="0.25">
      <c r="C56" s="153" t="s">
        <v>24</v>
      </c>
      <c r="D56" s="110"/>
      <c r="E56" s="111"/>
      <c r="F56" s="112" t="s">
        <v>57</v>
      </c>
      <c r="G56" s="112" t="s">
        <v>58</v>
      </c>
      <c r="H56" s="112" t="s">
        <v>74</v>
      </c>
      <c r="I56" s="183" t="s">
        <v>75</v>
      </c>
      <c r="J56" s="65"/>
      <c r="K56" s="65"/>
      <c r="L56" s="65"/>
      <c r="M56" s="65"/>
      <c r="N56" s="65"/>
      <c r="P56" s="65"/>
      <c r="S56" s="172"/>
      <c r="T56" s="112"/>
      <c r="U56" s="102"/>
      <c r="V56" s="154" t="s">
        <v>78</v>
      </c>
      <c r="W56" s="112" t="s">
        <v>57</v>
      </c>
      <c r="X56" s="112" t="s">
        <v>58</v>
      </c>
      <c r="Y56" s="112" t="s">
        <v>74</v>
      </c>
      <c r="Z56" s="113" t="s">
        <v>75</v>
      </c>
      <c r="AA56" s="65"/>
      <c r="AB56" s="65"/>
      <c r="AC56" s="65"/>
      <c r="AD56" s="65"/>
      <c r="AE56" s="65"/>
      <c r="AF56" s="42" t="s">
        <v>54</v>
      </c>
    </row>
    <row r="57" spans="3:36" x14ac:dyDescent="0.25">
      <c r="C57" s="184"/>
      <c r="D57" s="72" t="s">
        <v>65</v>
      </c>
      <c r="E57" s="80">
        <f>SQRT(E75)</f>
        <v>140.43640587206994</v>
      </c>
      <c r="F57" s="80">
        <f>SQRT(F75)</f>
        <v>111.49604749236535</v>
      </c>
      <c r="G57" s="80">
        <f>SQRT(G75)</f>
        <v>192.45551082020677</v>
      </c>
      <c r="H57" s="139"/>
      <c r="I57" s="136">
        <f>SQRT(G57/F57)</f>
        <v>1.3138187018590246</v>
      </c>
      <c r="J57" s="65"/>
      <c r="K57" s="65"/>
      <c r="L57" s="65"/>
      <c r="M57" s="65"/>
      <c r="N57" s="65"/>
      <c r="P57" s="65"/>
      <c r="S57" s="173"/>
      <c r="T57" s="169"/>
      <c r="U57" s="72" t="s">
        <v>79</v>
      </c>
      <c r="V57" s="73">
        <f t="shared" ref="V57:X59" si="10">EXP(V82/100)</f>
        <v>1.4143560112321196</v>
      </c>
      <c r="W57" s="73">
        <f t="shared" si="10"/>
        <v>1.3168382333157413</v>
      </c>
      <c r="X57" s="73">
        <f t="shared" si="10"/>
        <v>1.6081526236332255</v>
      </c>
      <c r="Y57" s="71"/>
      <c r="Z57" s="136">
        <f>SQRT(X57/W57)</f>
        <v>1.1050894124644448</v>
      </c>
      <c r="AA57" s="65"/>
      <c r="AB57" s="65"/>
      <c r="AC57" s="65"/>
      <c r="AD57" s="65"/>
      <c r="AE57" s="65"/>
      <c r="AF57" s="41" t="s">
        <v>2</v>
      </c>
      <c r="AG57" s="40">
        <f>EXP(AG53/100)</f>
        <v>394.36747939402557</v>
      </c>
      <c r="AH57" s="133" t="s">
        <v>55</v>
      </c>
    </row>
    <row r="58" spans="3:36" x14ac:dyDescent="0.25">
      <c r="C58" s="185"/>
      <c r="D58" s="75" t="s">
        <v>63</v>
      </c>
      <c r="E58" s="81">
        <f>IFERROR(SQRT(E76),-SQRT(-E76))</f>
        <v>132.99022140958198</v>
      </c>
      <c r="F58" s="81">
        <f>IFERROR(SQRT(F76),-SQRT(-F76))</f>
        <v>90.217182546574904</v>
      </c>
      <c r="G58" s="81">
        <f>IFERROR(SQRT(G76),-SQRT(-G76))</f>
        <v>165.02623414020346</v>
      </c>
      <c r="H58" s="81">
        <f>(G58-F58)/2</f>
        <v>37.404525796814276</v>
      </c>
      <c r="I58" s="190"/>
      <c r="J58" s="65"/>
      <c r="K58" s="65"/>
      <c r="L58" s="65"/>
      <c r="M58" s="65"/>
      <c r="N58" s="65"/>
      <c r="P58" s="65"/>
      <c r="S58" s="174"/>
      <c r="T58" s="170"/>
      <c r="U58" s="75" t="s">
        <v>82</v>
      </c>
      <c r="V58" s="76">
        <f t="shared" si="10"/>
        <v>1.3934888646929062</v>
      </c>
      <c r="W58" s="76">
        <f t="shared" si="10"/>
        <v>1.2528223789548205</v>
      </c>
      <c r="X58" s="76">
        <f t="shared" si="10"/>
        <v>1.5091889862028427</v>
      </c>
      <c r="Y58" s="74"/>
      <c r="Z58" s="123">
        <f t="shared" ref="Z58:Z59" si="11">SQRT(X58/W58)</f>
        <v>1.0975569453361214</v>
      </c>
      <c r="AA58" s="65"/>
      <c r="AB58" s="65"/>
      <c r="AC58" s="65"/>
      <c r="AD58" s="65"/>
      <c r="AE58" s="65"/>
      <c r="AF58" s="40">
        <f>EXP(AF54/100)</f>
        <v>394.36747939402557</v>
      </c>
      <c r="AG58" s="40">
        <f>EXP(AG54/100)</f>
        <v>394.36747939402699</v>
      </c>
      <c r="AH58" s="134">
        <f>100*EXP(AH54/100)-100</f>
        <v>4.1336017627372428</v>
      </c>
    </row>
    <row r="59" spans="3:36" x14ac:dyDescent="0.25">
      <c r="C59" s="186"/>
      <c r="D59" s="82" t="s">
        <v>61</v>
      </c>
      <c r="E59" s="140">
        <f>SQRT(H70)</f>
        <v>45.121891623635676</v>
      </c>
      <c r="F59" s="140">
        <f>SQRT(H68*E59^2/CHIINV((100-$D$21)/100/2,H68))</f>
        <v>41.547466995223417</v>
      </c>
      <c r="G59" s="140">
        <f>SQRT(H68*E59^2/CHIINV(1-(100-$D$21)/100/2,H68))</f>
        <v>49.433701617508689</v>
      </c>
      <c r="H59" s="141"/>
      <c r="I59" s="142">
        <f>SQRT(G59/F59)</f>
        <v>1.0907853342680311</v>
      </c>
      <c r="J59" s="66"/>
      <c r="K59" s="66"/>
      <c r="L59" s="66"/>
      <c r="M59" s="66"/>
      <c r="N59" s="66"/>
      <c r="P59" s="66"/>
      <c r="S59" s="175"/>
      <c r="T59" s="90"/>
      <c r="U59" s="78" t="s">
        <v>80</v>
      </c>
      <c r="V59" s="79">
        <f t="shared" si="10"/>
        <v>1.1056387271345194</v>
      </c>
      <c r="W59" s="79">
        <f t="shared" si="10"/>
        <v>1.0968780063454602</v>
      </c>
      <c r="X59" s="79">
        <f t="shared" si="10"/>
        <v>1.1162999030801386</v>
      </c>
      <c r="Y59" s="77"/>
      <c r="Z59" s="138">
        <f t="shared" si="11"/>
        <v>1.008814415039313</v>
      </c>
      <c r="AA59" s="66"/>
      <c r="AB59" s="66"/>
      <c r="AC59" s="66"/>
      <c r="AD59" s="66"/>
      <c r="AE59" s="66"/>
      <c r="AF59" s="130" t="s">
        <v>55</v>
      </c>
      <c r="AG59" s="131">
        <f>100*EXP(AG55/100)-100</f>
        <v>39.560327647370485</v>
      </c>
      <c r="AH59" s="132">
        <f>100*EXP(AH55/100)-100</f>
        <v>40.41284558720173</v>
      </c>
    </row>
    <row r="60" spans="3:36" ht="13.8" thickBot="1" x14ac:dyDescent="0.3">
      <c r="C60" s="187"/>
      <c r="D60" s="117" t="s">
        <v>56</v>
      </c>
      <c r="E60" s="151">
        <f>(E74-1)/(E74+S53-1)</f>
        <v>0.89676779977694554</v>
      </c>
      <c r="F60" s="151">
        <f>(F74-1)/(F74+S53-1)</f>
        <v>0.83981490385008872</v>
      </c>
      <c r="G60" s="151">
        <f>(G74-1)/(G74+S53-1)</f>
        <v>0.94353774970882331</v>
      </c>
      <c r="H60" s="151">
        <f>(G60-F60)/2</f>
        <v>5.1861422929367296E-2</v>
      </c>
      <c r="I60" s="152"/>
      <c r="J60" s="43"/>
      <c r="K60" s="43"/>
      <c r="L60" s="43"/>
      <c r="M60" s="66"/>
      <c r="N60" s="66"/>
      <c r="P60" s="66"/>
      <c r="S60" s="173"/>
      <c r="T60" s="169"/>
      <c r="U60" s="72" t="s">
        <v>119</v>
      </c>
      <c r="V60" s="80">
        <f t="shared" ref="V60:X62" si="12">100*V57-100</f>
        <v>41.435601123211967</v>
      </c>
      <c r="W60" s="80">
        <f t="shared" si="12"/>
        <v>31.683823331574132</v>
      </c>
      <c r="X60" s="80">
        <f t="shared" si="12"/>
        <v>60.815262363322546</v>
      </c>
      <c r="Y60" s="139"/>
      <c r="Z60" s="136">
        <f>SQRT(X60/W60)</f>
        <v>1.3854392935037858</v>
      </c>
      <c r="AA60" s="66"/>
      <c r="AB60" s="66"/>
      <c r="AC60" s="66"/>
    </row>
    <row r="61" spans="3:36" x14ac:dyDescent="0.25">
      <c r="C61" s="182"/>
      <c r="D61" s="127"/>
      <c r="E61" s="99" t="s">
        <v>59</v>
      </c>
      <c r="F61" s="100">
        <v>2</v>
      </c>
      <c r="G61" s="101" t="s">
        <v>60</v>
      </c>
      <c r="H61" s="112"/>
      <c r="I61" s="188"/>
      <c r="J61" s="43"/>
      <c r="K61" s="43"/>
      <c r="L61" s="43"/>
      <c r="S61" s="174"/>
      <c r="T61" s="170"/>
      <c r="U61" s="75" t="s">
        <v>120</v>
      </c>
      <c r="V61" s="81">
        <f t="shared" si="12"/>
        <v>39.348886469290619</v>
      </c>
      <c r="W61" s="81">
        <f t="shared" si="12"/>
        <v>25.282237895482055</v>
      </c>
      <c r="X61" s="81">
        <f t="shared" si="12"/>
        <v>50.918898620284267</v>
      </c>
      <c r="Y61" s="81">
        <f>(X61-W61)/2</f>
        <v>12.818330362401106</v>
      </c>
      <c r="Z61" s="190"/>
      <c r="AA61" s="66"/>
      <c r="AB61" s="66"/>
    </row>
    <row r="62" spans="3:36" x14ac:dyDescent="0.25">
      <c r="C62" s="189"/>
      <c r="D62" s="87"/>
      <c r="E62" s="86"/>
      <c r="F62" s="86" t="s">
        <v>57</v>
      </c>
      <c r="G62" s="86" t="s">
        <v>58</v>
      </c>
      <c r="H62" s="86" t="s">
        <v>74</v>
      </c>
      <c r="I62" s="104" t="s">
        <v>75</v>
      </c>
      <c r="J62" s="43"/>
      <c r="K62" s="43"/>
      <c r="L62" s="43"/>
      <c r="S62" s="175"/>
      <c r="T62" s="90"/>
      <c r="U62" s="82" t="s">
        <v>123</v>
      </c>
      <c r="V62" s="140">
        <f t="shared" si="12"/>
        <v>10.563872713451943</v>
      </c>
      <c r="W62" s="140">
        <f t="shared" si="12"/>
        <v>9.6878006345460221</v>
      </c>
      <c r="X62" s="140">
        <f t="shared" si="12"/>
        <v>11.629990308013859</v>
      </c>
      <c r="Y62" s="141"/>
      <c r="Z62" s="142">
        <f>SQRT(X62/W62)</f>
        <v>1.0956632118708032</v>
      </c>
      <c r="AA62" s="44"/>
      <c r="AB62" s="66"/>
    </row>
    <row r="63" spans="3:36" ht="13.8" thickBot="1" x14ac:dyDescent="0.3">
      <c r="C63" s="185"/>
      <c r="D63" s="83" t="s">
        <v>61</v>
      </c>
      <c r="E63" s="84">
        <f>E59/SQRT(F61)</f>
        <v>31.905995547037261</v>
      </c>
      <c r="F63" s="84">
        <f>F59/SQRT(F61)</f>
        <v>29.378495653446748</v>
      </c>
      <c r="G63" s="84">
        <f>G59/SQRT(F61)</f>
        <v>34.954905632892796</v>
      </c>
      <c r="H63" s="92"/>
      <c r="I63" s="123">
        <f>SQRT(G63/F63)</f>
        <v>1.0907853342680311</v>
      </c>
      <c r="J63" s="43"/>
      <c r="K63" s="43"/>
      <c r="L63" s="43"/>
      <c r="S63" s="176"/>
      <c r="T63" s="177"/>
      <c r="U63" s="117" t="s">
        <v>56</v>
      </c>
      <c r="V63" s="151">
        <f>(V78-1)/(V78+AJ53-1)</f>
        <v>0.91608785906821433</v>
      </c>
      <c r="W63" s="151">
        <f>(W78-1)/(W78+AJ53-1)</f>
        <v>0.86840206870339931</v>
      </c>
      <c r="X63" s="151">
        <f>(X78-1)/(X78+AJ53-1)</f>
        <v>0.95449989556871184</v>
      </c>
      <c r="Y63" s="151">
        <f>(X63-W63)/2</f>
        <v>4.3048913432656266E-2</v>
      </c>
      <c r="Z63" s="152"/>
      <c r="AA63" s="44"/>
      <c r="AB63" s="66"/>
    </row>
    <row r="64" spans="3:36" ht="13.8" thickBot="1" x14ac:dyDescent="0.3">
      <c r="C64" s="180"/>
      <c r="D64" s="107" t="s">
        <v>56</v>
      </c>
      <c r="E64" s="108">
        <f>IF(E74&lt;1,"~0.0",(E74-1)/(E74-1+$S$53/$F$61))</f>
        <v>0.9455746769661556</v>
      </c>
      <c r="F64" s="108">
        <f>IF(F74&lt;1,"?",(F74-1)/(F74-1+$S$53/$F$61))</f>
        <v>0.9129341240715575</v>
      </c>
      <c r="G64" s="108">
        <f>IF(E74&lt;1,"?",(G74-1)/(G74-1+$S$53/$F$61))</f>
        <v>0.97094872466478421</v>
      </c>
      <c r="H64" s="126">
        <f>IF(F74&lt;1,"?",(G64-F64)/2)</f>
        <v>2.9007300296613359E-2</v>
      </c>
      <c r="I64" s="129"/>
      <c r="J64" s="43"/>
      <c r="K64" s="43"/>
      <c r="L64" s="43"/>
      <c r="S64" s="172"/>
      <c r="T64" s="112"/>
      <c r="U64" s="127"/>
      <c r="V64" s="99" t="s">
        <v>59</v>
      </c>
      <c r="W64" s="100">
        <v>2</v>
      </c>
      <c r="X64" s="101" t="s">
        <v>60</v>
      </c>
      <c r="Y64" s="112"/>
      <c r="Z64" s="178"/>
      <c r="AA64" s="44"/>
      <c r="AB64" s="66"/>
    </row>
    <row r="65" spans="1:28" x14ac:dyDescent="0.25">
      <c r="D65" s="2"/>
      <c r="E65" s="38" t="s">
        <v>47</v>
      </c>
      <c r="F65" s="38"/>
      <c r="G65" s="2"/>
      <c r="H65" s="2"/>
      <c r="I65" s="65"/>
      <c r="J65" s="43"/>
      <c r="K65" s="43"/>
      <c r="L65" s="43"/>
      <c r="S65" s="179"/>
      <c r="T65" s="86"/>
      <c r="U65" s="86"/>
      <c r="V65" s="86"/>
      <c r="W65" s="86" t="s">
        <v>57</v>
      </c>
      <c r="X65" s="86" t="s">
        <v>58</v>
      </c>
      <c r="Y65" s="86" t="s">
        <v>74</v>
      </c>
      <c r="Z65" s="104" t="s">
        <v>75</v>
      </c>
      <c r="AA65" s="44"/>
      <c r="AB65" s="66"/>
    </row>
    <row r="66" spans="1:28" x14ac:dyDescent="0.25">
      <c r="D66"/>
      <c r="E66" s="38" t="s">
        <v>49</v>
      </c>
      <c r="F66" s="38"/>
      <c r="G66" s="2" t="s">
        <v>28</v>
      </c>
      <c r="H66" s="2" t="s">
        <v>29</v>
      </c>
      <c r="I66" s="65"/>
      <c r="J66" s="43"/>
      <c r="K66" s="43"/>
      <c r="L66" s="43"/>
      <c r="S66" s="173"/>
      <c r="T66" s="169"/>
      <c r="U66" s="72" t="s">
        <v>80</v>
      </c>
      <c r="V66" s="171">
        <f>EXP(V85/100)</f>
        <v>1.0735918831738309</v>
      </c>
      <c r="W66" s="171">
        <f>EXP(W85/100)</f>
        <v>1.0675696688663909</v>
      </c>
      <c r="X66" s="171">
        <f>EXP(X85/100)</f>
        <v>1.080901673491484</v>
      </c>
      <c r="Y66" s="139"/>
      <c r="Z66" s="136">
        <f>SQRT(X66/W66)</f>
        <v>1.0062247175872081</v>
      </c>
      <c r="AA66" s="44"/>
      <c r="AB66" s="66"/>
    </row>
    <row r="67" spans="1:28" x14ac:dyDescent="0.25">
      <c r="D67" s="1" t="s">
        <v>0</v>
      </c>
      <c r="E67" s="2">
        <f>COUNT(P32:P51)</f>
        <v>20</v>
      </c>
      <c r="F67" s="2"/>
      <c r="G67" s="2">
        <f>COUNT(E32:N51)</f>
        <v>200</v>
      </c>
      <c r="H67" s="2"/>
      <c r="J67" s="43"/>
      <c r="K67" s="43"/>
      <c r="L67" s="43"/>
      <c r="S67" s="174"/>
      <c r="T67" s="170"/>
      <c r="U67" s="83" t="s">
        <v>123</v>
      </c>
      <c r="V67" s="84">
        <f>100*V66-100</f>
        <v>7.3591883173830865</v>
      </c>
      <c r="W67" s="84">
        <f t="shared" ref="W67" si="13">100*W66-100</f>
        <v>6.7569668866390913</v>
      </c>
      <c r="X67" s="84">
        <f t="shared" ref="X67" si="14">100*X66-100</f>
        <v>8.0901673491484019</v>
      </c>
      <c r="Y67" s="92"/>
      <c r="Z67" s="123">
        <f>SQRT(X67/W67)</f>
        <v>1.0942154871598702</v>
      </c>
      <c r="AA67" s="44"/>
      <c r="AB67" s="66"/>
    </row>
    <row r="68" spans="1:28" ht="13.8" thickBot="1" x14ac:dyDescent="0.3">
      <c r="D68" s="1" t="s">
        <v>30</v>
      </c>
      <c r="E68" s="2">
        <f>E67-1</f>
        <v>19</v>
      </c>
      <c r="F68" s="2"/>
      <c r="G68" s="2">
        <f>G67-1</f>
        <v>199</v>
      </c>
      <c r="H68" s="2">
        <f>G68-E68</f>
        <v>180</v>
      </c>
      <c r="I68" s="66"/>
      <c r="S68" s="180"/>
      <c r="T68" s="181"/>
      <c r="U68" s="107" t="s">
        <v>56</v>
      </c>
      <c r="V68" s="108">
        <f>IF(V78&lt;1,"~0.0",(V78-1)/(V78-1+$AJ$53/$W$64))</f>
        <v>0.95620652751664958</v>
      </c>
      <c r="W68" s="108">
        <f>IF(W78&lt;1,"?",(W78-1)/(W78-1+$AJ$53/$W$64))</f>
        <v>0.92956658874397169</v>
      </c>
      <c r="X68" s="108">
        <f>IF(V78&lt;1,"?",(X78-1)/(X78-1+$AJ$53/$W$64))</f>
        <v>0.97672033417118775</v>
      </c>
      <c r="Y68" s="126">
        <f>IF(W78&lt;1,"?",(X68-W68)/2)</f>
        <v>2.3576872713608032E-2</v>
      </c>
      <c r="Z68" s="129"/>
      <c r="AA68" s="44"/>
      <c r="AB68" s="66"/>
    </row>
    <row r="69" spans="1:28" x14ac:dyDescent="0.25">
      <c r="D69" s="1" t="s">
        <v>27</v>
      </c>
      <c r="E69" s="2">
        <f>R53</f>
        <v>3399099.5251784353</v>
      </c>
      <c r="F69" s="6"/>
      <c r="G69" s="2">
        <f>Q55^2*G68</f>
        <v>3765576.8438435574</v>
      </c>
      <c r="H69" s="2">
        <f>G69-E69-F69</f>
        <v>366477.31866512215</v>
      </c>
      <c r="I69" s="43"/>
      <c r="U69" s="2"/>
      <c r="V69" s="38" t="s">
        <v>47</v>
      </c>
      <c r="W69" s="38"/>
      <c r="X69" s="2"/>
      <c r="Y69" s="2"/>
      <c r="Z69" s="65"/>
      <c r="AA69" s="44"/>
      <c r="AB69" s="66"/>
    </row>
    <row r="70" spans="1:28" x14ac:dyDescent="0.25">
      <c r="D70" s="31" t="s">
        <v>50</v>
      </c>
      <c r="E70" s="69">
        <f>P55^2-H70/S53</f>
        <v>17686.398990569636</v>
      </c>
      <c r="F70" s="6"/>
      <c r="G70" s="6"/>
      <c r="H70" s="6">
        <f>H69/H68</f>
        <v>2035.9851036951231</v>
      </c>
      <c r="I70" s="43"/>
      <c r="U70"/>
      <c r="V70" s="38" t="s">
        <v>49</v>
      </c>
      <c r="W70" s="38"/>
      <c r="X70" s="2" t="s">
        <v>28</v>
      </c>
      <c r="Y70" s="2" t="s">
        <v>29</v>
      </c>
      <c r="Z70" s="65"/>
      <c r="AA70" s="44"/>
      <c r="AB70" s="66"/>
    </row>
    <row r="71" spans="1:28" x14ac:dyDescent="0.25">
      <c r="D71" s="31" t="s">
        <v>51</v>
      </c>
      <c r="E71" s="2">
        <f>2*P55^4/(E67-1)+1/S53^2*2*H70^2/H68</f>
        <v>33690145.906295143</v>
      </c>
      <c r="F71" s="6"/>
      <c r="G71" s="6"/>
      <c r="H71" s="2">
        <f>2*H70^2/H68</f>
        <v>46058.17047187157</v>
      </c>
      <c r="I71" s="43"/>
      <c r="U71" s="1" t="s">
        <v>0</v>
      </c>
      <c r="V71" s="2">
        <f>COUNT(AG32:AG51)</f>
        <v>20</v>
      </c>
      <c r="W71" s="2"/>
      <c r="X71" s="2">
        <f>COUNT(V32:AE51)</f>
        <v>200</v>
      </c>
      <c r="Y71" s="2"/>
      <c r="Z71" s="65"/>
      <c r="AA71" s="44"/>
      <c r="AB71" s="66"/>
    </row>
    <row r="72" spans="1:28" x14ac:dyDescent="0.25">
      <c r="D72" s="39" t="s">
        <v>52</v>
      </c>
      <c r="E72" s="69">
        <f>SQRT(E71)</f>
        <v>5804.3213131506718</v>
      </c>
      <c r="F72" s="69"/>
      <c r="G72" s="69"/>
      <c r="H72" s="69">
        <f>SQRT(H71)</f>
        <v>214.61167366168965</v>
      </c>
      <c r="I72" s="43"/>
      <c r="U72" s="1" t="s">
        <v>30</v>
      </c>
      <c r="V72" s="2">
        <f>V71-1</f>
        <v>19</v>
      </c>
      <c r="W72" s="2"/>
      <c r="X72" s="2">
        <f>X71-1</f>
        <v>199</v>
      </c>
      <c r="Y72" s="2">
        <f>X72-V72</f>
        <v>180</v>
      </c>
      <c r="Z72" s="66"/>
      <c r="AA72" s="44"/>
      <c r="AB72" s="66"/>
    </row>
    <row r="73" spans="1:28" x14ac:dyDescent="0.25">
      <c r="D73" s="2"/>
      <c r="E73" s="2"/>
      <c r="F73" s="44" t="s">
        <v>57</v>
      </c>
      <c r="G73" s="44" t="s">
        <v>58</v>
      </c>
      <c r="U73" s="1" t="s">
        <v>27</v>
      </c>
      <c r="V73" s="2">
        <f>AI53</f>
        <v>211102.80782706081</v>
      </c>
      <c r="W73" s="2"/>
      <c r="X73" s="2">
        <f>AH55^2*X72</f>
        <v>229255.48277457265</v>
      </c>
      <c r="Y73" s="2">
        <f>X73-V73-W73</f>
        <v>18152.674947511841</v>
      </c>
      <c r="Z73" s="66"/>
      <c r="AA73" s="44"/>
      <c r="AB73" s="66"/>
    </row>
    <row r="74" spans="1:28" x14ac:dyDescent="0.25">
      <c r="D74" s="45" t="s">
        <v>66</v>
      </c>
      <c r="E74" s="5">
        <f>E69/E68/(H69/H68)</f>
        <v>87.8689999669961</v>
      </c>
      <c r="F74" s="67">
        <f>E74/FINV((1-$D$21/100)/2,E68,H68)</f>
        <v>53.427780363794717</v>
      </c>
      <c r="G74" s="67">
        <f>E74*FINV((1-$D$21/100)/2,H68,E68)</f>
        <v>168.10948374232072</v>
      </c>
      <c r="H74" s="2"/>
      <c r="I74" s="43"/>
      <c r="U74" s="222" t="s">
        <v>50</v>
      </c>
      <c r="V74" s="223">
        <f>AG55^2-Y74/AJ53</f>
        <v>1100.9825902008254</v>
      </c>
      <c r="W74" s="223"/>
      <c r="X74" s="223"/>
      <c r="Y74" s="223">
        <f>Y73/Y72</f>
        <v>100.84819415284356</v>
      </c>
      <c r="Z74" s="225" t="s">
        <v>131</v>
      </c>
      <c r="AB74" s="66"/>
    </row>
    <row r="75" spans="1:28" x14ac:dyDescent="0.25">
      <c r="D75" s="31" t="s">
        <v>71</v>
      </c>
      <c r="E75" s="6">
        <f>E70+H70</f>
        <v>19722.384094264758</v>
      </c>
      <c r="F75" s="60">
        <f>E68*E75/CHIINV((100-$D$21)/100/2,E68)</f>
        <v>12431.368606419788</v>
      </c>
      <c r="G75" s="60">
        <f>E68*E75/CHIINV(1-(100-$D$21)/100/2,E68)</f>
        <v>37039.12364506672</v>
      </c>
      <c r="H75" s="2"/>
      <c r="I75" s="43"/>
      <c r="U75" s="31" t="s">
        <v>51</v>
      </c>
      <c r="V75" s="2">
        <f>2*AG55^4/(V71-1)+1/AJ53^2*2*Y74^2/Y72</f>
        <v>129945.42358833889</v>
      </c>
      <c r="W75" s="2"/>
      <c r="X75" s="2"/>
      <c r="Y75" s="2">
        <f>2*Y74^2/Y72</f>
        <v>113.00398070988477</v>
      </c>
      <c r="Z75" s="225"/>
      <c r="AB75" s="66"/>
    </row>
    <row r="76" spans="1:28" x14ac:dyDescent="0.25">
      <c r="A76" s="44"/>
      <c r="B76" s="44"/>
      <c r="D76" s="31" t="s">
        <v>73</v>
      </c>
      <c r="E76" s="6">
        <f>E70</f>
        <v>17686.398990569636</v>
      </c>
      <c r="F76" s="60">
        <f>E70+NORMSINV((100-$D$21)/100/2)*E72</f>
        <v>8139.1400266420187</v>
      </c>
      <c r="G76" s="60">
        <f>E70-NORMSINV((100-$D$21)/100/2)*E72</f>
        <v>27233.657954497256</v>
      </c>
      <c r="H76" s="2"/>
      <c r="I76" s="43"/>
      <c r="U76" s="222" t="s">
        <v>52</v>
      </c>
      <c r="V76" s="224">
        <f>SQRT(V75)</f>
        <v>360.47943573571416</v>
      </c>
      <c r="W76" s="224"/>
      <c r="X76" s="224"/>
      <c r="Y76" s="224">
        <f>SQRT(Y75)</f>
        <v>10.630333047928685</v>
      </c>
      <c r="Z76" s="225" t="s">
        <v>132</v>
      </c>
      <c r="AB76" s="66"/>
    </row>
    <row r="77" spans="1:28" x14ac:dyDescent="0.25">
      <c r="A77" s="2"/>
      <c r="B77" s="2"/>
      <c r="C77" s="2"/>
      <c r="D77" s="2"/>
      <c r="U77" s="2"/>
      <c r="V77" s="2"/>
      <c r="W77" s="44" t="s">
        <v>57</v>
      </c>
      <c r="X77" s="44" t="s">
        <v>58</v>
      </c>
      <c r="Y77" s="2"/>
      <c r="Z77" s="44"/>
      <c r="AB77" s="66"/>
    </row>
    <row r="78" spans="1:28" x14ac:dyDescent="0.25">
      <c r="A78" s="2"/>
      <c r="B78" s="2"/>
      <c r="C78" s="2"/>
      <c r="D78" s="2"/>
      <c r="U78" s="45" t="s">
        <v>66</v>
      </c>
      <c r="V78" s="5">
        <f>V73/V72/(Y73/Y72)</f>
        <v>110.17226624129704</v>
      </c>
      <c r="W78" s="67">
        <f>V78/FINV((1-$D$21/100)/2,V72,Y72)</f>
        <v>66.989036464878765</v>
      </c>
      <c r="X78" s="67">
        <f>V78*FINV((1-$D$21/100)/2,Y72,V72)</f>
        <v>210.77971534332366</v>
      </c>
      <c r="Y78" s="2"/>
      <c r="Z78" s="44"/>
      <c r="AB78" s="66"/>
    </row>
    <row r="79" spans="1:28" x14ac:dyDescent="0.25">
      <c r="A79" s="2"/>
      <c r="B79" s="2"/>
      <c r="C79" s="2"/>
      <c r="D79" s="2"/>
      <c r="U79" s="31" t="s">
        <v>71</v>
      </c>
      <c r="V79" s="5">
        <f>V74+Y74</f>
        <v>1201.8307843536688</v>
      </c>
      <c r="W79" s="60">
        <f>V72*V79/CHIINV((100-$D$21)/100/2,V72)</f>
        <v>757.53526609329731</v>
      </c>
      <c r="X79" s="44">
        <f>V72*V79/CHIINV(1-(100-$D$21)/100/2,V72)</f>
        <v>2257.0678478504983</v>
      </c>
      <c r="Y79" s="2"/>
      <c r="AB79" s="66"/>
    </row>
    <row r="80" spans="1:28" x14ac:dyDescent="0.25">
      <c r="A80" s="2"/>
      <c r="B80" s="2"/>
      <c r="C80" s="2"/>
      <c r="D80" s="2"/>
      <c r="U80" s="31" t="s">
        <v>73</v>
      </c>
      <c r="V80" s="5">
        <f>V74</f>
        <v>1100.9825902008254</v>
      </c>
      <c r="W80" s="44">
        <f>V74+NORMSINV((100-$D$21)/100/2)*V76</f>
        <v>508.04668288951564</v>
      </c>
      <c r="X80" s="44">
        <f>V74-NORMSINV((100-$D$21)/100/2)*V76</f>
        <v>1693.9184975121352</v>
      </c>
      <c r="Y80" s="2"/>
      <c r="Z80" s="44"/>
      <c r="AA80" s="44"/>
      <c r="AB80" s="66"/>
    </row>
    <row r="81" spans="1:34" x14ac:dyDescent="0.25">
      <c r="A81" s="2"/>
      <c r="B81" s="2"/>
      <c r="C81" s="2"/>
      <c r="D81" s="2"/>
      <c r="U81" s="31"/>
      <c r="V81" s="5"/>
      <c r="W81" s="44" t="s">
        <v>57</v>
      </c>
      <c r="X81" s="44" t="s">
        <v>58</v>
      </c>
      <c r="Y81" s="2"/>
      <c r="Z81" s="44"/>
      <c r="AA81" s="44"/>
      <c r="AB81" s="66"/>
    </row>
    <row r="82" spans="1:34" x14ac:dyDescent="0.25">
      <c r="A82" s="2"/>
      <c r="B82" s="2"/>
      <c r="C82" s="2"/>
      <c r="D82" s="2"/>
      <c r="U82" s="31" t="s">
        <v>65</v>
      </c>
      <c r="V82" s="5">
        <f>SQRT(V79)</f>
        <v>34.667431176158246</v>
      </c>
      <c r="W82" s="5">
        <f>SQRT(W79)</f>
        <v>27.523358554022749</v>
      </c>
      <c r="X82" s="5">
        <f>SQRT(X79)</f>
        <v>47.50860814474045</v>
      </c>
      <c r="Y82" s="65"/>
      <c r="Z82" s="44"/>
      <c r="AA82" s="44"/>
      <c r="AB82" s="66"/>
    </row>
    <row r="83" spans="1:34" x14ac:dyDescent="0.25">
      <c r="A83" s="2"/>
      <c r="B83" s="2"/>
      <c r="C83" s="2"/>
      <c r="D83" s="2"/>
      <c r="U83" s="31" t="s">
        <v>63</v>
      </c>
      <c r="V83" s="67">
        <f>IFERROR(SQRT(V80),-SQRT(-V80))</f>
        <v>33.181057701659022</v>
      </c>
      <c r="W83" s="67">
        <f>IFERROR(SQRT(W80),-SQRT(-W80))</f>
        <v>22.539890924525693</v>
      </c>
      <c r="X83" s="67">
        <f>IFERROR(SQRT(X80),-SQRT(-X80))</f>
        <v>41.157241130961815</v>
      </c>
      <c r="Y83" s="2"/>
      <c r="Z83" s="44"/>
      <c r="AA83" s="66"/>
      <c r="AB83" s="66"/>
    </row>
    <row r="84" spans="1:34" x14ac:dyDescent="0.25">
      <c r="U84" s="45" t="s">
        <v>61</v>
      </c>
      <c r="V84" s="65">
        <f>SQRT(Y74)</f>
        <v>10.042320157854139</v>
      </c>
      <c r="W84" s="65">
        <f>SQRT(Y72*V84^2/CHIINV((100-$D$21)/100/2,Y72))</f>
        <v>9.2467968496107407</v>
      </c>
      <c r="X84" s="65">
        <f>SQRT(Y72*V84^2/CHIINV(1-(100-$D$21)/100/2,Y72))</f>
        <v>11.001955821613109</v>
      </c>
      <c r="Y84" s="2"/>
      <c r="Z84" s="44"/>
      <c r="AA84" s="66"/>
      <c r="AB84" s="66"/>
    </row>
    <row r="85" spans="1:34" x14ac:dyDescent="0.25">
      <c r="A85" s="2"/>
      <c r="B85" s="2"/>
      <c r="C85" s="2"/>
      <c r="D85" s="2"/>
      <c r="U85" s="45" t="str">
        <f>"Error for mean of "&amp;W64&amp;" trials"</f>
        <v>Error for mean of 2 trials</v>
      </c>
      <c r="V85" s="65">
        <f>V84/SQRT(W64)</f>
        <v>7.1009926824650211</v>
      </c>
      <c r="W85" s="65">
        <f>W84/SQRT(W64)</f>
        <v>6.5384727566141585</v>
      </c>
      <c r="X85" s="65">
        <f>X84/SQRT(W64)</f>
        <v>7.7795575677774425</v>
      </c>
      <c r="Y85" s="2"/>
      <c r="Z85" s="52" t="s">
        <v>147</v>
      </c>
      <c r="AA85" s="66"/>
      <c r="AB85" s="66"/>
      <c r="AC85" s="66"/>
    </row>
    <row r="86" spans="1:34" ht="13.8" thickBot="1" x14ac:dyDescent="0.3">
      <c r="A86" s="2"/>
      <c r="B86" s="2"/>
      <c r="C86" s="2"/>
      <c r="D86" s="2"/>
      <c r="R86" s="43"/>
      <c r="S86" s="43"/>
      <c r="T86" s="43"/>
      <c r="X86" s="66"/>
      <c r="Y86" s="66"/>
      <c r="Z86" s="271" t="s">
        <v>145</v>
      </c>
      <c r="AA86" s="271"/>
      <c r="AB86" s="271"/>
      <c r="AC86" s="271"/>
      <c r="AD86" s="271"/>
      <c r="AE86" s="271"/>
      <c r="AF86" s="271"/>
      <c r="AG86" s="271"/>
      <c r="AH86" s="226"/>
    </row>
    <row r="87" spans="1:34" ht="13.8" thickTop="1" x14ac:dyDescent="0.25">
      <c r="D87" s="44"/>
      <c r="S87" s="43"/>
      <c r="X87" s="66"/>
      <c r="Y87" s="66"/>
      <c r="Z87" s="272" t="s">
        <v>133</v>
      </c>
      <c r="AA87" s="273"/>
      <c r="AB87" s="276" t="s">
        <v>134</v>
      </c>
      <c r="AC87" s="278" t="s">
        <v>135</v>
      </c>
      <c r="AD87" s="278" t="s">
        <v>136</v>
      </c>
      <c r="AE87" s="278" t="s">
        <v>137</v>
      </c>
      <c r="AF87" s="278" t="s">
        <v>138</v>
      </c>
      <c r="AG87" s="280"/>
      <c r="AH87" s="226"/>
    </row>
    <row r="88" spans="1:34" ht="13.8" thickBot="1" x14ac:dyDescent="0.3">
      <c r="X88" s="66"/>
      <c r="Y88" s="66"/>
      <c r="Z88" s="274"/>
      <c r="AA88" s="275"/>
      <c r="AB88" s="277"/>
      <c r="AC88" s="279"/>
      <c r="AD88" s="279"/>
      <c r="AE88" s="279"/>
      <c r="AF88" s="227" t="s">
        <v>139</v>
      </c>
      <c r="AG88" s="228" t="s">
        <v>140</v>
      </c>
      <c r="AH88" s="226"/>
    </row>
    <row r="89" spans="1:34" ht="13.8" thickTop="1" x14ac:dyDescent="0.25">
      <c r="X89" s="66"/>
      <c r="Y89" s="66"/>
      <c r="Z89" s="267" t="s">
        <v>141</v>
      </c>
      <c r="AA89" s="268"/>
      <c r="AB89" s="229">
        <v>100.84819415286699</v>
      </c>
      <c r="AC89" s="230">
        <v>10.630333047940638</v>
      </c>
      <c r="AD89" s="231">
        <v>9.4868329804966756</v>
      </c>
      <c r="AE89" s="232">
        <v>2.3816001645895896E-21</v>
      </c>
      <c r="AF89" s="230">
        <v>84.794744192340218</v>
      </c>
      <c r="AG89" s="233">
        <v>119.94090389405379</v>
      </c>
      <c r="AH89" s="226"/>
    </row>
    <row r="90" spans="1:34" ht="25.8" thickBot="1" x14ac:dyDescent="0.3">
      <c r="X90" s="66"/>
      <c r="Y90" s="66"/>
      <c r="Z90" s="234" t="s">
        <v>142</v>
      </c>
      <c r="AA90" s="235" t="s">
        <v>143</v>
      </c>
      <c r="AB90" s="236">
        <v>1100.9825902008138</v>
      </c>
      <c r="AC90" s="237">
        <v>360.4794357357128</v>
      </c>
      <c r="AD90" s="238">
        <v>3.0542174700029334</v>
      </c>
      <c r="AE90" s="239">
        <v>2.2564844398476587E-3</v>
      </c>
      <c r="AF90" s="237">
        <v>642.52565729711364</v>
      </c>
      <c r="AG90" s="240">
        <v>1886.5591594029863</v>
      </c>
      <c r="AH90" s="226"/>
    </row>
    <row r="91" spans="1:34" ht="13.8" thickTop="1" x14ac:dyDescent="0.25">
      <c r="X91" s="66"/>
      <c r="Y91" s="66"/>
      <c r="Z91" s="269" t="s">
        <v>144</v>
      </c>
      <c r="AA91" s="269"/>
      <c r="AB91" s="269"/>
      <c r="AC91" s="269"/>
      <c r="AD91" s="269"/>
      <c r="AE91" s="269"/>
      <c r="AF91" s="269"/>
      <c r="AG91" s="269"/>
      <c r="AH91" s="226"/>
    </row>
    <row r="92" spans="1:34" x14ac:dyDescent="0.25">
      <c r="X92" s="66"/>
      <c r="Y92" s="66"/>
      <c r="Z92" s="66"/>
      <c r="AA92" s="66"/>
      <c r="AB92" s="66"/>
      <c r="AC92" s="66"/>
    </row>
    <row r="93" spans="1:34" x14ac:dyDescent="0.25">
      <c r="X93" s="66"/>
      <c r="Y93" s="66"/>
      <c r="Z93" s="66"/>
      <c r="AA93" s="66"/>
      <c r="AB93" s="66"/>
      <c r="AC93" s="66"/>
    </row>
    <row r="94" spans="1:34" x14ac:dyDescent="0.25">
      <c r="X94" s="66"/>
      <c r="Y94" s="66"/>
      <c r="Z94" s="66"/>
      <c r="AA94" s="66"/>
      <c r="AB94" s="66"/>
      <c r="AC94" s="66"/>
    </row>
    <row r="95" spans="1:34" x14ac:dyDescent="0.25">
      <c r="X95" s="66"/>
      <c r="Y95" s="66"/>
      <c r="Z95" s="66"/>
      <c r="AA95" s="66"/>
      <c r="AB95" s="66"/>
      <c r="AC95" s="66"/>
    </row>
    <row r="96" spans="1:34" x14ac:dyDescent="0.25">
      <c r="X96" s="66"/>
      <c r="Y96" s="66"/>
      <c r="Z96" s="66"/>
      <c r="AA96" s="66"/>
      <c r="AB96" s="66"/>
      <c r="AC96" s="66"/>
    </row>
    <row r="97" spans="24:29" x14ac:dyDescent="0.25">
      <c r="X97" s="66"/>
      <c r="Z97" s="44"/>
      <c r="AA97" s="44"/>
      <c r="AB97" s="44"/>
      <c r="AC97" s="44"/>
    </row>
    <row r="98" spans="24:29" x14ac:dyDescent="0.25">
      <c r="Z98" s="44"/>
      <c r="AA98" s="44"/>
      <c r="AB98" s="44"/>
      <c r="AC98" s="44"/>
    </row>
    <row r="99" spans="24:29" x14ac:dyDescent="0.25">
      <c r="Z99" s="44"/>
      <c r="AA99" s="44"/>
      <c r="AB99" s="44"/>
      <c r="AC99" s="44"/>
    </row>
    <row r="100" spans="24:29" x14ac:dyDescent="0.25">
      <c r="Z100" s="44"/>
      <c r="AA100" s="44"/>
      <c r="AB100" s="44"/>
      <c r="AC100" s="44"/>
    </row>
    <row r="101" spans="24:29" x14ac:dyDescent="0.25">
      <c r="Z101" s="44"/>
      <c r="AA101" s="44"/>
      <c r="AB101" s="44"/>
      <c r="AC101" s="44"/>
    </row>
    <row r="102" spans="24:29" x14ac:dyDescent="0.25">
      <c r="Z102" s="44"/>
      <c r="AA102" s="44"/>
      <c r="AB102" s="44"/>
      <c r="AC102" s="44"/>
    </row>
    <row r="103" spans="24:29" x14ac:dyDescent="0.25">
      <c r="Z103" s="44"/>
      <c r="AA103" s="44"/>
      <c r="AB103" s="44"/>
      <c r="AC103" s="44"/>
    </row>
    <row r="104" spans="24:29" x14ac:dyDescent="0.25">
      <c r="Z104" s="44"/>
      <c r="AA104" s="44"/>
      <c r="AB104" s="44"/>
      <c r="AC104" s="44"/>
    </row>
    <row r="105" spans="24:29" x14ac:dyDescent="0.25">
      <c r="Z105" s="44"/>
      <c r="AA105" s="44"/>
      <c r="AB105" s="44"/>
      <c r="AC105" s="44"/>
    </row>
    <row r="106" spans="24:29" x14ac:dyDescent="0.25">
      <c r="Z106" s="44"/>
      <c r="AA106" s="44"/>
      <c r="AB106" s="44"/>
      <c r="AC106" s="44"/>
    </row>
    <row r="107" spans="24:29" x14ac:dyDescent="0.25">
      <c r="Z107" s="44"/>
      <c r="AA107" s="44"/>
      <c r="AB107" s="44"/>
      <c r="AC107" s="44"/>
    </row>
    <row r="108" spans="24:29" x14ac:dyDescent="0.25">
      <c r="Z108" s="44"/>
      <c r="AA108" s="44"/>
      <c r="AB108" s="44"/>
      <c r="AC108" s="44"/>
    </row>
    <row r="109" spans="24:29" x14ac:dyDescent="0.25">
      <c r="Z109" s="44"/>
      <c r="AA109" s="44"/>
      <c r="AB109" s="44"/>
      <c r="AC109" s="44"/>
    </row>
    <row r="110" spans="24:29" x14ac:dyDescent="0.25">
      <c r="Z110" s="44"/>
      <c r="AA110" s="44"/>
      <c r="AB110" s="44"/>
      <c r="AC110" s="44"/>
    </row>
    <row r="111" spans="24:29" x14ac:dyDescent="0.25">
      <c r="Z111" s="44"/>
      <c r="AA111" s="44"/>
      <c r="AB111" s="44"/>
      <c r="AC111" s="44"/>
    </row>
    <row r="112" spans="24:29" x14ac:dyDescent="0.25">
      <c r="Z112" s="44"/>
      <c r="AA112" s="44"/>
      <c r="AB112" s="44"/>
      <c r="AC112" s="44"/>
    </row>
    <row r="113" spans="26:29" x14ac:dyDescent="0.25">
      <c r="Z113" s="44"/>
      <c r="AA113" s="44"/>
      <c r="AB113" s="44"/>
      <c r="AC113" s="44"/>
    </row>
    <row r="114" spans="26:29" x14ac:dyDescent="0.25">
      <c r="Z114" s="44"/>
      <c r="AA114" s="44"/>
      <c r="AB114" s="44"/>
      <c r="AC114" s="44"/>
    </row>
    <row r="115" spans="26:29" x14ac:dyDescent="0.25">
      <c r="Z115" s="44"/>
      <c r="AA115" s="44"/>
      <c r="AB115" s="44"/>
      <c r="AC115" s="44"/>
    </row>
    <row r="116" spans="26:29" x14ac:dyDescent="0.25">
      <c r="Z116" s="44"/>
      <c r="AA116" s="44"/>
      <c r="AB116" s="44"/>
      <c r="AC116" s="44"/>
    </row>
    <row r="117" spans="26:29" x14ac:dyDescent="0.25">
      <c r="Z117" s="44"/>
      <c r="AA117" s="44"/>
      <c r="AB117" s="44"/>
      <c r="AC117" s="44"/>
    </row>
    <row r="118" spans="26:29" x14ac:dyDescent="0.25">
      <c r="Z118" s="44"/>
      <c r="AA118" s="44"/>
      <c r="AB118" s="44"/>
      <c r="AC118" s="44"/>
    </row>
    <row r="119" spans="26:29" x14ac:dyDescent="0.25">
      <c r="Z119" s="44"/>
      <c r="AA119" s="44"/>
      <c r="AB119" s="44"/>
      <c r="AC119" s="44"/>
    </row>
    <row r="120" spans="26:29" x14ac:dyDescent="0.25">
      <c r="Z120" s="44"/>
      <c r="AA120" s="44"/>
      <c r="AB120" s="44"/>
      <c r="AC120" s="44"/>
    </row>
    <row r="121" spans="26:29" x14ac:dyDescent="0.25">
      <c r="Z121" s="44"/>
      <c r="AA121" s="44"/>
      <c r="AB121" s="44"/>
      <c r="AC121" s="44"/>
    </row>
    <row r="122" spans="26:29" x14ac:dyDescent="0.25">
      <c r="Z122" s="44"/>
      <c r="AA122" s="44"/>
      <c r="AB122" s="44"/>
      <c r="AC122" s="44"/>
    </row>
    <row r="123" spans="26:29" x14ac:dyDescent="0.25">
      <c r="Z123" s="44"/>
      <c r="AA123" s="44"/>
      <c r="AB123" s="44"/>
      <c r="AC123" s="44"/>
    </row>
    <row r="124" spans="26:29" x14ac:dyDescent="0.25">
      <c r="Z124" s="44"/>
      <c r="AA124" s="44"/>
      <c r="AB124" s="44"/>
      <c r="AC124" s="44"/>
    </row>
    <row r="125" spans="26:29" x14ac:dyDescent="0.25">
      <c r="Z125" s="44"/>
      <c r="AA125" s="44"/>
      <c r="AB125" s="44"/>
      <c r="AC125" s="44"/>
    </row>
    <row r="126" spans="26:29" x14ac:dyDescent="0.25">
      <c r="Z126" s="44"/>
      <c r="AA126" s="44"/>
      <c r="AB126" s="44"/>
      <c r="AC126" s="44"/>
    </row>
    <row r="127" spans="26:29" x14ac:dyDescent="0.25">
      <c r="Z127" s="44"/>
      <c r="AA127" s="44"/>
      <c r="AB127" s="44"/>
      <c r="AC127" s="44"/>
    </row>
    <row r="128" spans="26:29" x14ac:dyDescent="0.25">
      <c r="Z128" s="44"/>
      <c r="AA128" s="44"/>
      <c r="AB128" s="44"/>
      <c r="AC128" s="44"/>
    </row>
    <row r="129" spans="26:29" x14ac:dyDescent="0.25">
      <c r="Z129" s="44"/>
      <c r="AA129" s="44"/>
      <c r="AB129" s="44"/>
      <c r="AC129" s="44"/>
    </row>
    <row r="130" spans="26:29" x14ac:dyDescent="0.25">
      <c r="Z130" s="44"/>
      <c r="AA130" s="44"/>
      <c r="AB130" s="44"/>
      <c r="AC130" s="44"/>
    </row>
    <row r="131" spans="26:29" x14ac:dyDescent="0.25">
      <c r="Z131" s="44"/>
      <c r="AA131" s="44"/>
      <c r="AB131" s="44"/>
      <c r="AC131" s="44"/>
    </row>
    <row r="132" spans="26:29" x14ac:dyDescent="0.25">
      <c r="Z132" s="44"/>
      <c r="AA132" s="44"/>
      <c r="AB132" s="44"/>
      <c r="AC132" s="44"/>
    </row>
    <row r="133" spans="26:29" x14ac:dyDescent="0.25">
      <c r="Z133" s="44"/>
      <c r="AA133" s="44"/>
      <c r="AB133" s="44"/>
      <c r="AC133" s="44"/>
    </row>
    <row r="134" spans="26:29" x14ac:dyDescent="0.25">
      <c r="Z134" s="44"/>
      <c r="AA134" s="44"/>
      <c r="AB134" s="44"/>
      <c r="AC134" s="44"/>
    </row>
    <row r="135" spans="26:29" x14ac:dyDescent="0.25">
      <c r="Z135" s="44"/>
      <c r="AA135" s="44"/>
      <c r="AB135" s="44"/>
      <c r="AC135" s="44"/>
    </row>
    <row r="136" spans="26:29" x14ac:dyDescent="0.25">
      <c r="Z136" s="44"/>
      <c r="AA136" s="44"/>
      <c r="AB136" s="44"/>
      <c r="AC136" s="44"/>
    </row>
  </sheetData>
  <mergeCells count="10">
    <mergeCell ref="Z89:AA89"/>
    <mergeCell ref="Z91:AG91"/>
    <mergeCell ref="B2:C2"/>
    <mergeCell ref="Z86:AG86"/>
    <mergeCell ref="Z87:AA88"/>
    <mergeCell ref="AB87:AB88"/>
    <mergeCell ref="AC87:AC88"/>
    <mergeCell ref="AD87:AD88"/>
    <mergeCell ref="AE87:AE88"/>
    <mergeCell ref="AF87:AG87"/>
  </mergeCells>
  <pageMargins left="0.75" right="0.75" top="1" bottom="1" header="0.5" footer="0.5"/>
  <pageSetup paperSize="9" orientation="portrait" horizontalDpi="1200"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95"/>
  <sheetViews>
    <sheetView zoomScale="85" zoomScaleNormal="85" workbookViewId="0"/>
  </sheetViews>
  <sheetFormatPr defaultRowHeight="13.2" x14ac:dyDescent="0.25"/>
  <cols>
    <col min="1" max="1" width="3" customWidth="1"/>
    <col min="2" max="2" width="19.44140625" customWidth="1"/>
    <col min="3" max="3" width="7.109375" customWidth="1"/>
    <col min="4" max="4" width="7.88671875" customWidth="1"/>
    <col min="5" max="14" width="7.88671875" style="2" customWidth="1"/>
    <col min="15" max="17" width="6.6640625" style="2" customWidth="1"/>
    <col min="18" max="18" width="7.33203125" style="2" customWidth="1"/>
    <col min="19" max="19" width="6.6640625" style="2" customWidth="1"/>
    <col min="20" max="20" width="8.33203125" style="2" customWidth="1"/>
    <col min="21" max="21" width="6.6640625" style="2" customWidth="1"/>
    <col min="22" max="24" width="7.5546875" style="2" customWidth="1"/>
    <col min="25" max="25" width="6.6640625" style="2" customWidth="1"/>
  </cols>
  <sheetData>
    <row r="1" spans="2:25" s="118" customFormat="1" ht="13.8" x14ac:dyDescent="0.25">
      <c r="B1" s="209" t="s">
        <v>102</v>
      </c>
      <c r="E1" s="90"/>
      <c r="F1" s="90"/>
      <c r="G1" s="90"/>
      <c r="H1" s="90"/>
      <c r="I1" s="90"/>
      <c r="J1" s="90"/>
      <c r="K1" s="90"/>
      <c r="L1" s="90"/>
      <c r="M1" s="90"/>
      <c r="N1" s="90"/>
      <c r="O1" s="90"/>
      <c r="P1" s="90"/>
      <c r="Q1" s="90"/>
      <c r="R1" s="90"/>
      <c r="S1" s="90"/>
      <c r="T1" s="90"/>
      <c r="U1" s="90"/>
      <c r="V1" s="90"/>
      <c r="W1" s="90"/>
      <c r="X1" s="90"/>
      <c r="Y1" s="90"/>
    </row>
    <row r="2" spans="2:25" x14ac:dyDescent="0.25">
      <c r="B2" s="32" t="s">
        <v>127</v>
      </c>
    </row>
    <row r="3" spans="2:25" x14ac:dyDescent="0.25">
      <c r="B3" s="32" t="s">
        <v>124</v>
      </c>
    </row>
    <row r="4" spans="2:25" ht="12.6" customHeight="1" x14ac:dyDescent="0.25">
      <c r="B4" s="32" t="s">
        <v>125</v>
      </c>
    </row>
    <row r="5" spans="2:25" x14ac:dyDescent="0.25">
      <c r="B5" s="32" t="s">
        <v>128</v>
      </c>
    </row>
    <row r="6" spans="2:25" x14ac:dyDescent="0.25">
      <c r="B6" s="32" t="s">
        <v>129</v>
      </c>
    </row>
    <row r="7" spans="2:25" x14ac:dyDescent="0.25">
      <c r="B7" s="32" t="s">
        <v>130</v>
      </c>
    </row>
    <row r="8" spans="2:25" x14ac:dyDescent="0.25">
      <c r="B8" s="32" t="s">
        <v>97</v>
      </c>
    </row>
    <row r="9" spans="2:25" x14ac:dyDescent="0.25">
      <c r="B9" s="32" t="s">
        <v>113</v>
      </c>
    </row>
    <row r="10" spans="2:25" x14ac:dyDescent="0.25">
      <c r="B10" s="68" t="s">
        <v>112</v>
      </c>
      <c r="C10" s="1"/>
      <c r="D10" s="1"/>
      <c r="E10" s="1"/>
      <c r="F10" s="1"/>
      <c r="G10" s="1"/>
      <c r="H10" s="1"/>
      <c r="I10" s="1"/>
      <c r="J10" s="1"/>
      <c r="K10" s="1"/>
      <c r="L10" s="1"/>
      <c r="M10" s="1"/>
      <c r="N10" s="1"/>
      <c r="O10" s="1"/>
      <c r="P10"/>
      <c r="Q10"/>
      <c r="R10"/>
      <c r="S10"/>
      <c r="T10"/>
      <c r="U10"/>
      <c r="V10"/>
      <c r="W10"/>
      <c r="X10"/>
      <c r="Y10"/>
    </row>
    <row r="11" spans="2:25" s="43" customFormat="1" x14ac:dyDescent="0.25">
      <c r="B11" s="32" t="s">
        <v>99</v>
      </c>
      <c r="C11"/>
      <c r="D11"/>
      <c r="E11" s="2"/>
      <c r="F11" s="2"/>
      <c r="G11" s="2"/>
      <c r="H11" s="2"/>
      <c r="I11" s="2"/>
      <c r="J11" s="2"/>
      <c r="K11" s="2"/>
      <c r="L11" s="2"/>
      <c r="M11" s="2"/>
      <c r="N11" s="2"/>
      <c r="O11" s="2"/>
      <c r="P11" s="2"/>
      <c r="Q11" s="2"/>
      <c r="R11" s="2"/>
      <c r="S11" s="44"/>
    </row>
    <row r="12" spans="2:25" s="43" customFormat="1" x14ac:dyDescent="0.25">
      <c r="B12" s="32" t="s">
        <v>111</v>
      </c>
      <c r="C12"/>
      <c r="D12"/>
      <c r="E12" s="2"/>
      <c r="F12" s="2"/>
      <c r="G12" s="2"/>
      <c r="H12" s="2"/>
      <c r="I12" s="2"/>
      <c r="J12" s="2"/>
      <c r="K12" s="2"/>
      <c r="L12" s="2"/>
      <c r="M12" s="2"/>
      <c r="N12" s="2"/>
      <c r="O12" s="2"/>
      <c r="P12" s="2"/>
      <c r="Q12" s="2"/>
      <c r="R12" s="2"/>
      <c r="S12" s="44"/>
    </row>
    <row r="13" spans="2:25" x14ac:dyDescent="0.25">
      <c r="B13" s="32" t="s">
        <v>126</v>
      </c>
      <c r="C13" s="15"/>
      <c r="D13" s="15"/>
      <c r="E13" s="15"/>
      <c r="F13" s="15"/>
      <c r="G13" s="15"/>
      <c r="H13" s="15"/>
      <c r="I13" s="15"/>
      <c r="J13" s="15"/>
      <c r="K13" s="15"/>
      <c r="L13" s="15"/>
      <c r="M13" s="15"/>
      <c r="N13" s="15"/>
      <c r="O13" s="15"/>
      <c r="P13" s="15"/>
      <c r="Q13" s="15"/>
      <c r="R13" s="15"/>
      <c r="S13" s="15"/>
      <c r="T13"/>
      <c r="U13"/>
      <c r="V13"/>
      <c r="W13"/>
      <c r="X13"/>
      <c r="Y13"/>
    </row>
    <row r="14" spans="2:25" x14ac:dyDescent="0.25">
      <c r="B14" s="68" t="s">
        <v>117</v>
      </c>
      <c r="C14" s="1"/>
      <c r="D14" s="1"/>
      <c r="E14" s="1"/>
      <c r="F14" s="1"/>
      <c r="G14" s="1"/>
      <c r="H14" s="1"/>
      <c r="I14" s="1"/>
      <c r="J14" s="1"/>
      <c r="K14" s="1"/>
      <c r="L14" s="1"/>
      <c r="M14" s="1"/>
      <c r="N14" s="1"/>
      <c r="O14" s="1"/>
      <c r="P14"/>
      <c r="Q14"/>
      <c r="R14"/>
      <c r="S14"/>
      <c r="T14"/>
      <c r="U14"/>
      <c r="V14"/>
      <c r="W14"/>
      <c r="X14"/>
      <c r="Y14"/>
    </row>
    <row r="15" spans="2:25" x14ac:dyDescent="0.25">
      <c r="B15" s="32"/>
      <c r="C15" s="15"/>
      <c r="D15" s="15"/>
      <c r="E15" s="15"/>
      <c r="F15" s="15"/>
      <c r="G15" s="15"/>
      <c r="H15" s="15"/>
      <c r="I15" s="15"/>
      <c r="J15" s="15"/>
      <c r="K15" s="15"/>
      <c r="L15" s="15"/>
      <c r="M15" s="15"/>
      <c r="N15" s="15"/>
      <c r="O15" s="15"/>
      <c r="P15" s="15"/>
      <c r="Q15" s="15"/>
      <c r="R15" s="15"/>
      <c r="S15" s="15"/>
      <c r="T15"/>
      <c r="U15"/>
      <c r="V15"/>
      <c r="W15"/>
      <c r="X15"/>
      <c r="Y15"/>
    </row>
    <row r="16" spans="2:25" x14ac:dyDescent="0.25">
      <c r="B16" s="93"/>
      <c r="C16" s="94" t="s">
        <v>96</v>
      </c>
      <c r="D16" s="195">
        <v>90</v>
      </c>
      <c r="Y16"/>
    </row>
    <row r="17" spans="2:36" x14ac:dyDescent="0.25">
      <c r="B17" s="194" t="s">
        <v>86</v>
      </c>
      <c r="X17"/>
      <c r="Y17"/>
    </row>
    <row r="18" spans="2:36" x14ac:dyDescent="0.25">
      <c r="D18" s="46" t="s">
        <v>84</v>
      </c>
      <c r="S18" s="18"/>
      <c r="X18"/>
      <c r="Y18"/>
      <c r="AB18" s="2"/>
      <c r="AC18" s="2"/>
      <c r="AD18" s="2"/>
    </row>
    <row r="19" spans="2:36" ht="27.75" customHeight="1" x14ac:dyDescent="0.25">
      <c r="D19" s="16" t="s">
        <v>3</v>
      </c>
      <c r="F19" s="4"/>
      <c r="G19" s="4"/>
      <c r="H19" s="4"/>
      <c r="I19" s="4"/>
      <c r="J19" s="4"/>
      <c r="K19" s="4"/>
      <c r="L19" s="4"/>
      <c r="M19" s="4"/>
      <c r="N19" s="4"/>
      <c r="S19" s="17"/>
      <c r="T19" s="4"/>
      <c r="U19" s="4"/>
      <c r="V19" s="4"/>
      <c r="W19" s="4"/>
      <c r="X19"/>
      <c r="Y19"/>
      <c r="AA19" s="4"/>
      <c r="AB19" s="7"/>
      <c r="AC19" s="4"/>
      <c r="AD19" s="4"/>
    </row>
    <row r="20" spans="2:36" x14ac:dyDescent="0.25">
      <c r="C20" s="19" t="s">
        <v>2</v>
      </c>
      <c r="D20" s="70">
        <v>400</v>
      </c>
      <c r="S20" s="18"/>
      <c r="AB20" s="8"/>
      <c r="AC20" s="2"/>
      <c r="AD20" s="2"/>
      <c r="AE20" s="2"/>
    </row>
    <row r="21" spans="2:36" x14ac:dyDescent="0.25">
      <c r="C21" s="19" t="s">
        <v>25</v>
      </c>
      <c r="D21" s="70">
        <v>30</v>
      </c>
      <c r="S21" s="18"/>
      <c r="U21" s="28"/>
      <c r="AB21" s="8"/>
      <c r="AC21" s="2"/>
      <c r="AD21" s="2"/>
      <c r="AE21" s="2"/>
    </row>
    <row r="22" spans="2:36" x14ac:dyDescent="0.25">
      <c r="C22" s="19" t="s">
        <v>26</v>
      </c>
      <c r="D22" s="22">
        <f>1+D21/100</f>
        <v>1.3</v>
      </c>
      <c r="E22" s="28"/>
      <c r="V22" s="28" t="s">
        <v>85</v>
      </c>
      <c r="Z22" s="2"/>
      <c r="AA22" s="2"/>
      <c r="AD22" s="8"/>
      <c r="AE22" s="2"/>
      <c r="AF22" s="2"/>
      <c r="AG22" s="2"/>
    </row>
    <row r="23" spans="2:36" x14ac:dyDescent="0.25">
      <c r="C23" s="33" t="s">
        <v>77</v>
      </c>
      <c r="D23" s="10"/>
      <c r="E23" s="201">
        <v>10</v>
      </c>
      <c r="F23" s="204">
        <f>E23</f>
        <v>10</v>
      </c>
      <c r="G23" s="204">
        <f t="shared" ref="G23:N23" si="0">F23</f>
        <v>10</v>
      </c>
      <c r="H23" s="204">
        <f t="shared" si="0"/>
        <v>10</v>
      </c>
      <c r="I23" s="204">
        <f t="shared" si="0"/>
        <v>10</v>
      </c>
      <c r="J23" s="204">
        <f>I23</f>
        <v>10</v>
      </c>
      <c r="K23" s="204">
        <f t="shared" si="0"/>
        <v>10</v>
      </c>
      <c r="L23" s="204">
        <f t="shared" si="0"/>
        <v>10</v>
      </c>
      <c r="M23" s="204">
        <f t="shared" si="0"/>
        <v>10</v>
      </c>
      <c r="N23" s="204">
        <f t="shared" si="0"/>
        <v>10</v>
      </c>
      <c r="U23" s="18"/>
      <c r="V23" s="68" t="s">
        <v>100</v>
      </c>
      <c r="Z23" s="2"/>
      <c r="AA23" s="2"/>
      <c r="AC23" s="1"/>
      <c r="AE23" s="8"/>
      <c r="AF23" s="8"/>
      <c r="AG23" s="8"/>
    </row>
    <row r="24" spans="2:36" x14ac:dyDescent="0.25">
      <c r="C24" s="33" t="s">
        <v>53</v>
      </c>
      <c r="D24" s="10"/>
      <c r="E24" s="204">
        <v>5</v>
      </c>
      <c r="F24" s="204">
        <v>0</v>
      </c>
      <c r="G24" s="207">
        <f>100/1.05-100</f>
        <v>-4.7619047619047592</v>
      </c>
      <c r="H24" s="204">
        <v>5</v>
      </c>
      <c r="I24" s="204">
        <v>0</v>
      </c>
      <c r="J24" s="207">
        <f t="shared" ref="J24" si="1">100/1.05-100</f>
        <v>-4.7619047619047592</v>
      </c>
      <c r="K24" s="204">
        <v>5</v>
      </c>
      <c r="L24" s="204">
        <v>0</v>
      </c>
      <c r="M24" s="207">
        <f t="shared" ref="M24" si="2">100/1.05-100</f>
        <v>-4.7619047619047592</v>
      </c>
      <c r="N24" s="204">
        <v>0</v>
      </c>
      <c r="U24" s="18"/>
      <c r="V24" s="68"/>
      <c r="Z24" s="2"/>
      <c r="AA24" s="2"/>
      <c r="AC24" s="1"/>
      <c r="AE24" s="8"/>
      <c r="AF24" s="8"/>
      <c r="AG24" s="8"/>
    </row>
    <row r="25" spans="2:36" x14ac:dyDescent="0.25">
      <c r="C25" s="33" t="s">
        <v>34</v>
      </c>
      <c r="D25" s="19"/>
      <c r="E25" s="202" t="s">
        <v>114</v>
      </c>
      <c r="F25" s="202" t="s">
        <v>115</v>
      </c>
      <c r="G25" s="202" t="s">
        <v>116</v>
      </c>
      <c r="H25" s="202" t="s">
        <v>114</v>
      </c>
      <c r="I25" s="202" t="s">
        <v>115</v>
      </c>
      <c r="J25" s="202" t="s">
        <v>116</v>
      </c>
      <c r="K25" s="202" t="s">
        <v>114</v>
      </c>
      <c r="L25" s="202" t="s">
        <v>115</v>
      </c>
      <c r="M25" s="202" t="s">
        <v>116</v>
      </c>
      <c r="N25" s="202" t="s">
        <v>115</v>
      </c>
      <c r="U25" s="18"/>
      <c r="Z25" s="2"/>
      <c r="AA25" s="2"/>
      <c r="AC25" s="1"/>
      <c r="AE25" s="8"/>
      <c r="AF25" s="8"/>
      <c r="AG25" s="8"/>
    </row>
    <row r="26" spans="2:36" ht="12.6" customHeight="1" x14ac:dyDescent="0.25">
      <c r="C26" s="33"/>
      <c r="D26" s="10"/>
      <c r="E26" s="200" t="s">
        <v>35</v>
      </c>
      <c r="F26" s="200" t="s">
        <v>36</v>
      </c>
      <c r="G26" s="200" t="s">
        <v>37</v>
      </c>
      <c r="H26" s="200" t="s">
        <v>38</v>
      </c>
      <c r="I26" s="200" t="s">
        <v>39</v>
      </c>
      <c r="J26" s="200" t="s">
        <v>40</v>
      </c>
      <c r="K26" s="200" t="s">
        <v>41</v>
      </c>
      <c r="L26" s="200" t="s">
        <v>42</v>
      </c>
      <c r="M26" s="200" t="s">
        <v>43</v>
      </c>
      <c r="N26" s="200" t="s">
        <v>44</v>
      </c>
      <c r="P26" s="36" t="s">
        <v>2</v>
      </c>
      <c r="V26" s="21" t="str">
        <f t="shared" ref="V26:AE26" si="3">E26</f>
        <v>Game1</v>
      </c>
      <c r="W26" s="21" t="str">
        <f t="shared" si="3"/>
        <v>Game2</v>
      </c>
      <c r="X26" s="21" t="str">
        <f t="shared" si="3"/>
        <v>Game3</v>
      </c>
      <c r="Y26" s="21" t="str">
        <f t="shared" si="3"/>
        <v>Game4</v>
      </c>
      <c r="Z26" s="21" t="str">
        <f t="shared" si="3"/>
        <v>Game5</v>
      </c>
      <c r="AA26" s="21" t="str">
        <f t="shared" si="3"/>
        <v>Game6</v>
      </c>
      <c r="AB26" s="21" t="str">
        <f t="shared" si="3"/>
        <v>Game7</v>
      </c>
      <c r="AC26" s="21" t="str">
        <f t="shared" si="3"/>
        <v>Game8</v>
      </c>
      <c r="AD26" s="21" t="str">
        <f t="shared" si="3"/>
        <v>Game9</v>
      </c>
      <c r="AE26" s="21" t="str">
        <f t="shared" si="3"/>
        <v>Game10</v>
      </c>
      <c r="AF26" s="2"/>
      <c r="AG26" s="36" t="s">
        <v>2</v>
      </c>
      <c r="AI26" s="43"/>
      <c r="AJ26" s="43"/>
    </row>
    <row r="27" spans="2:36" x14ac:dyDescent="0.25">
      <c r="C27" s="219" t="s">
        <v>4</v>
      </c>
      <c r="D27" s="20"/>
      <c r="E27" s="210">
        <v>812.66894479840244</v>
      </c>
      <c r="F27" s="211">
        <v>706.73425202427961</v>
      </c>
      <c r="G27" s="211">
        <v>595.95357002551157</v>
      </c>
      <c r="H27" s="211">
        <v>625.97412165364346</v>
      </c>
      <c r="I27" s="211">
        <v>556.23851732836431</v>
      </c>
      <c r="J27" s="211">
        <v>629.69262370244178</v>
      </c>
      <c r="K27" s="211">
        <v>662.43443970567694</v>
      </c>
      <c r="L27" s="211">
        <v>645.17699960024163</v>
      </c>
      <c r="M27" s="211">
        <v>628.61852133160573</v>
      </c>
      <c r="N27" s="212">
        <v>638.96908271547159</v>
      </c>
      <c r="O27" s="6"/>
      <c r="P27" s="37">
        <f t="shared" ref="P27:P46" si="4">AVERAGE(E27:N27)</f>
        <v>650.24610728856385</v>
      </c>
      <c r="R27" s="43"/>
      <c r="S27" s="43"/>
      <c r="U27" s="6"/>
      <c r="V27" s="156">
        <f t="shared" ref="V27:V46" si="5">100*LN(E27)</f>
        <v>670.03238246485898</v>
      </c>
      <c r="W27" s="157">
        <f t="shared" ref="W27:W46" si="6">100*LN(F27)</f>
        <v>656.06547140817679</v>
      </c>
      <c r="X27" s="157">
        <f t="shared" ref="X27:X46" si="7">100*LN(G27)</f>
        <v>639.01627613890219</v>
      </c>
      <c r="Y27" s="157">
        <f t="shared" ref="Y27:Y46" si="8">100*LN(H27)</f>
        <v>643.93090310341779</v>
      </c>
      <c r="Z27" s="157">
        <f t="shared" ref="Z27:Z46" si="9">100*LN(I27)</f>
        <v>632.11971902621929</v>
      </c>
      <c r="AA27" s="157">
        <f t="shared" ref="AA27:AA46" si="10">100*LN(J27)</f>
        <v>644.52318014391756</v>
      </c>
      <c r="AB27" s="157">
        <f t="shared" ref="AB27:AB46" si="11">100*LN(K27)</f>
        <v>649.59215940287913</v>
      </c>
      <c r="AC27" s="157">
        <f t="shared" ref="AC27:AC46" si="12">100*LN(L27)</f>
        <v>646.9524697134915</v>
      </c>
      <c r="AD27" s="157">
        <f t="shared" ref="AD27:AD46" si="13">100*LN(M27)</f>
        <v>644.35245883449352</v>
      </c>
      <c r="AE27" s="158">
        <f t="shared" ref="AE27:AE46" si="14">100*LN(N27)</f>
        <v>645.98560693501463</v>
      </c>
      <c r="AF27" s="6"/>
      <c r="AG27" s="37">
        <f>AVERAGE(V27:AE27)</f>
        <v>647.25706271713705</v>
      </c>
      <c r="AI27" s="43"/>
      <c r="AJ27" s="43"/>
    </row>
    <row r="28" spans="2:36" x14ac:dyDescent="0.25">
      <c r="C28" s="219" t="s">
        <v>5</v>
      </c>
      <c r="D28" s="20"/>
      <c r="E28" s="213">
        <v>190.23584740022159</v>
      </c>
      <c r="F28" s="214">
        <v>215.77965529836985</v>
      </c>
      <c r="G28" s="214">
        <v>198.4007142412803</v>
      </c>
      <c r="H28" s="214">
        <v>180.57694483765306</v>
      </c>
      <c r="I28" s="214">
        <v>199.2070851826108</v>
      </c>
      <c r="J28" s="214">
        <v>186.96803129179469</v>
      </c>
      <c r="K28" s="214">
        <v>221.03494784023454</v>
      </c>
      <c r="L28" s="214">
        <v>233.56412492259201</v>
      </c>
      <c r="M28" s="214">
        <v>203.57994762346144</v>
      </c>
      <c r="N28" s="215">
        <v>210.972923078549</v>
      </c>
      <c r="O28" s="6"/>
      <c r="P28" s="37">
        <f t="shared" si="4"/>
        <v>204.03202217167672</v>
      </c>
      <c r="R28" s="43"/>
      <c r="S28" s="43"/>
      <c r="U28" s="6"/>
      <c r="V28" s="159">
        <f t="shared" si="5"/>
        <v>524.82646044884086</v>
      </c>
      <c r="W28" s="160">
        <f t="shared" si="6"/>
        <v>537.42577726539866</v>
      </c>
      <c r="X28" s="160">
        <f t="shared" si="7"/>
        <v>529.02887948507453</v>
      </c>
      <c r="Y28" s="160">
        <f t="shared" si="8"/>
        <v>519.61569741275787</v>
      </c>
      <c r="Z28" s="160">
        <f t="shared" si="9"/>
        <v>529.43449127037616</v>
      </c>
      <c r="AA28" s="160">
        <f t="shared" si="10"/>
        <v>523.09376465811499</v>
      </c>
      <c r="AB28" s="160">
        <f t="shared" si="11"/>
        <v>539.8320824039414</v>
      </c>
      <c r="AC28" s="160">
        <f t="shared" si="12"/>
        <v>545.34566643425808</v>
      </c>
      <c r="AD28" s="160">
        <f t="shared" si="13"/>
        <v>531.60587907467334</v>
      </c>
      <c r="AE28" s="161">
        <f t="shared" si="14"/>
        <v>535.17297985995503</v>
      </c>
      <c r="AF28" s="6"/>
      <c r="AG28" s="37">
        <f t="shared" ref="AG28:AG46" si="15">AVERAGE(V28:AE28)</f>
        <v>531.53816783133914</v>
      </c>
      <c r="AI28" s="43"/>
      <c r="AJ28" s="43"/>
    </row>
    <row r="29" spans="2:36" x14ac:dyDescent="0.25">
      <c r="C29" s="219" t="s">
        <v>6</v>
      </c>
      <c r="D29" s="20"/>
      <c r="E29" s="213">
        <v>563.84982085276806</v>
      </c>
      <c r="F29" s="214">
        <v>489.19716411122982</v>
      </c>
      <c r="G29" s="214">
        <v>415.06998168889641</v>
      </c>
      <c r="H29" s="214">
        <v>527.91389019544545</v>
      </c>
      <c r="I29" s="214">
        <v>499.0826986000323</v>
      </c>
      <c r="J29" s="214">
        <v>401.31988951544577</v>
      </c>
      <c r="K29" s="214">
        <v>515.02921682796102</v>
      </c>
      <c r="L29" s="214">
        <v>564.92218304516143</v>
      </c>
      <c r="M29" s="214">
        <v>441.72173294774802</v>
      </c>
      <c r="N29" s="215">
        <v>413.523033197389</v>
      </c>
      <c r="O29" s="6"/>
      <c r="P29" s="37">
        <f t="shared" si="4"/>
        <v>483.1629610982078</v>
      </c>
      <c r="R29" s="43"/>
      <c r="S29" s="43"/>
      <c r="U29" s="6"/>
      <c r="V29" s="159">
        <f t="shared" si="5"/>
        <v>633.478794095681</v>
      </c>
      <c r="W29" s="160">
        <f t="shared" si="6"/>
        <v>619.27656068036345</v>
      </c>
      <c r="X29" s="160">
        <f t="shared" si="7"/>
        <v>602.8447136589815</v>
      </c>
      <c r="Y29" s="160">
        <f t="shared" si="8"/>
        <v>626.89331836551207</v>
      </c>
      <c r="Z29" s="160">
        <f t="shared" si="9"/>
        <v>621.27718106774216</v>
      </c>
      <c r="AA29" s="160">
        <f t="shared" si="10"/>
        <v>599.47588387544886</v>
      </c>
      <c r="AB29" s="160">
        <f t="shared" si="11"/>
        <v>624.42236307593328</v>
      </c>
      <c r="AC29" s="160">
        <f t="shared" si="12"/>
        <v>633.66879925373064</v>
      </c>
      <c r="AD29" s="160">
        <f t="shared" si="13"/>
        <v>609.06801203527698</v>
      </c>
      <c r="AE29" s="161">
        <f t="shared" si="14"/>
        <v>602.47132159290504</v>
      </c>
      <c r="AF29" s="6"/>
      <c r="AG29" s="37">
        <f t="shared" si="15"/>
        <v>617.2876947701576</v>
      </c>
      <c r="AI29" s="43"/>
      <c r="AJ29" s="43"/>
    </row>
    <row r="30" spans="2:36" x14ac:dyDescent="0.25">
      <c r="C30" s="219" t="s">
        <v>7</v>
      </c>
      <c r="D30" s="20"/>
      <c r="E30" s="213">
        <v>626.73793885515659</v>
      </c>
      <c r="F30" s="214">
        <v>560.22242945364314</v>
      </c>
      <c r="G30" s="214">
        <v>541.78786447409743</v>
      </c>
      <c r="H30" s="214">
        <v>636.70800475634246</v>
      </c>
      <c r="I30" s="214">
        <v>548.60228664447254</v>
      </c>
      <c r="J30" s="214">
        <v>514.30646119362791</v>
      </c>
      <c r="K30" s="214">
        <v>546.34544457983441</v>
      </c>
      <c r="L30" s="214">
        <v>571.60423762969981</v>
      </c>
      <c r="M30" s="214">
        <v>501.69293998241022</v>
      </c>
      <c r="N30" s="215">
        <v>564.04350368766961</v>
      </c>
      <c r="O30" s="6"/>
      <c r="P30" s="37">
        <f t="shared" si="4"/>
        <v>561.20511112569545</v>
      </c>
      <c r="R30" s="43"/>
      <c r="S30" s="43"/>
      <c r="U30" s="6"/>
      <c r="V30" s="159">
        <f t="shared" si="5"/>
        <v>644.05284929045422</v>
      </c>
      <c r="W30" s="160">
        <f t="shared" si="6"/>
        <v>632.83339003208971</v>
      </c>
      <c r="X30" s="160">
        <f t="shared" si="7"/>
        <v>629.4874530865809</v>
      </c>
      <c r="Y30" s="160">
        <f t="shared" si="8"/>
        <v>645.63111592014377</v>
      </c>
      <c r="Z30" s="160">
        <f t="shared" si="9"/>
        <v>630.73737466400451</v>
      </c>
      <c r="AA30" s="160">
        <f t="shared" si="10"/>
        <v>624.28193157850353</v>
      </c>
      <c r="AB30" s="160">
        <f t="shared" si="11"/>
        <v>630.32514580664349</v>
      </c>
      <c r="AC30" s="160">
        <f t="shared" si="12"/>
        <v>634.8446859656118</v>
      </c>
      <c r="AD30" s="160">
        <f t="shared" si="13"/>
        <v>621.79882592014587</v>
      </c>
      <c r="AE30" s="161">
        <f t="shared" si="14"/>
        <v>633.51313827213653</v>
      </c>
      <c r="AF30" s="6"/>
      <c r="AG30" s="37">
        <f t="shared" si="15"/>
        <v>632.75059105363141</v>
      </c>
      <c r="AI30" s="43"/>
      <c r="AJ30" s="43"/>
    </row>
    <row r="31" spans="2:36" x14ac:dyDescent="0.25">
      <c r="C31" s="219" t="s">
        <v>8</v>
      </c>
      <c r="D31" s="20"/>
      <c r="E31" s="213">
        <v>380.04579307099067</v>
      </c>
      <c r="F31" s="214">
        <v>301.27966734332068</v>
      </c>
      <c r="G31" s="214">
        <v>373.55858296759527</v>
      </c>
      <c r="H31" s="214">
        <v>314.63810400283342</v>
      </c>
      <c r="I31" s="214">
        <v>281.28191820975479</v>
      </c>
      <c r="J31" s="214">
        <v>307.24887400799685</v>
      </c>
      <c r="K31" s="214">
        <v>327.20065334060172</v>
      </c>
      <c r="L31" s="214">
        <v>288.67788355477541</v>
      </c>
      <c r="M31" s="214">
        <v>278.36266394507493</v>
      </c>
      <c r="N31" s="215">
        <v>285.12885237823406</v>
      </c>
      <c r="O31" s="6"/>
      <c r="P31" s="37">
        <f t="shared" si="4"/>
        <v>313.74229928211776</v>
      </c>
      <c r="R31" s="43"/>
      <c r="S31" s="43"/>
      <c r="U31" s="6"/>
      <c r="V31" s="159">
        <f t="shared" si="5"/>
        <v>594.02917535414701</v>
      </c>
      <c r="W31" s="160">
        <f t="shared" si="6"/>
        <v>570.80389607636516</v>
      </c>
      <c r="X31" s="160">
        <f t="shared" si="7"/>
        <v>592.30748409148964</v>
      </c>
      <c r="Y31" s="160">
        <f t="shared" si="8"/>
        <v>575.14231021800026</v>
      </c>
      <c r="Z31" s="160">
        <f t="shared" si="9"/>
        <v>563.93574340474879</v>
      </c>
      <c r="AA31" s="160">
        <f t="shared" si="10"/>
        <v>572.76580836973517</v>
      </c>
      <c r="AB31" s="160">
        <f t="shared" si="11"/>
        <v>579.05736014888282</v>
      </c>
      <c r="AC31" s="160">
        <f t="shared" si="12"/>
        <v>566.53114767194427</v>
      </c>
      <c r="AD31" s="160">
        <f t="shared" si="13"/>
        <v>562.89248100741054</v>
      </c>
      <c r="AE31" s="161">
        <f t="shared" si="14"/>
        <v>565.29411917039272</v>
      </c>
      <c r="AF31" s="6"/>
      <c r="AG31" s="37">
        <f t="shared" si="15"/>
        <v>574.27595255131166</v>
      </c>
      <c r="AI31" s="43"/>
      <c r="AJ31" s="43"/>
    </row>
    <row r="32" spans="2:36" x14ac:dyDescent="0.25">
      <c r="C32" s="219" t="s">
        <v>9</v>
      </c>
      <c r="D32" s="20"/>
      <c r="E32" s="213">
        <v>695.99480877335236</v>
      </c>
      <c r="F32" s="214">
        <v>490.86320166202768</v>
      </c>
      <c r="G32" s="214">
        <v>503.57156061765818</v>
      </c>
      <c r="H32" s="214">
        <v>553.05136521151087</v>
      </c>
      <c r="I32" s="214">
        <v>533.60951888686486</v>
      </c>
      <c r="J32" s="214">
        <v>576.23253404906586</v>
      </c>
      <c r="K32" s="214">
        <v>638.89612108824758</v>
      </c>
      <c r="L32" s="214">
        <v>552.42267062662461</v>
      </c>
      <c r="M32" s="214">
        <v>496.60496512548718</v>
      </c>
      <c r="N32" s="215">
        <v>583.43844005392668</v>
      </c>
      <c r="O32" s="6"/>
      <c r="P32" s="37">
        <f t="shared" si="4"/>
        <v>562.46851860947663</v>
      </c>
      <c r="R32" s="43"/>
      <c r="S32" s="43"/>
      <c r="U32" s="6"/>
      <c r="V32" s="159">
        <f t="shared" si="5"/>
        <v>654.5342201647627</v>
      </c>
      <c r="W32" s="160">
        <f t="shared" si="6"/>
        <v>619.61654772887766</v>
      </c>
      <c r="X32" s="160">
        <f t="shared" si="7"/>
        <v>622.17258284104844</v>
      </c>
      <c r="Y32" s="160">
        <f t="shared" si="8"/>
        <v>631.54508818589329</v>
      </c>
      <c r="Z32" s="160">
        <f t="shared" si="9"/>
        <v>627.96643334356759</v>
      </c>
      <c r="AA32" s="160">
        <f t="shared" si="10"/>
        <v>635.65112841752693</v>
      </c>
      <c r="AB32" s="160">
        <f t="shared" si="11"/>
        <v>645.97418763553196</v>
      </c>
      <c r="AC32" s="160">
        <f t="shared" si="12"/>
        <v>631.43134609294771</v>
      </c>
      <c r="AD32" s="160">
        <f t="shared" si="13"/>
        <v>620.77948712630837</v>
      </c>
      <c r="AE32" s="161">
        <f t="shared" si="14"/>
        <v>636.89389449680402</v>
      </c>
      <c r="AF32" s="6"/>
      <c r="AG32" s="37">
        <f t="shared" si="15"/>
        <v>632.65649160332691</v>
      </c>
      <c r="AI32" s="43"/>
      <c r="AJ32" s="43"/>
    </row>
    <row r="33" spans="3:36" x14ac:dyDescent="0.25">
      <c r="C33" s="219" t="s">
        <v>10</v>
      </c>
      <c r="D33" s="20"/>
      <c r="E33" s="213">
        <v>290.89893562071086</v>
      </c>
      <c r="F33" s="214">
        <v>277.86787292296543</v>
      </c>
      <c r="G33" s="214">
        <v>278.28380164411533</v>
      </c>
      <c r="H33" s="214">
        <v>280.50643289790895</v>
      </c>
      <c r="I33" s="214">
        <v>281.03066834193032</v>
      </c>
      <c r="J33" s="214">
        <v>301.44990612585042</v>
      </c>
      <c r="K33" s="214">
        <v>334.89807138077538</v>
      </c>
      <c r="L33" s="214">
        <v>309.86171460866842</v>
      </c>
      <c r="M33" s="214">
        <v>266.6455185522633</v>
      </c>
      <c r="N33" s="215">
        <v>327.48241727308601</v>
      </c>
      <c r="O33" s="6"/>
      <c r="P33" s="37">
        <f t="shared" si="4"/>
        <v>294.89253393682742</v>
      </c>
      <c r="R33" s="43"/>
      <c r="S33" s="43"/>
      <c r="U33" s="6"/>
      <c r="V33" s="159">
        <f t="shared" si="5"/>
        <v>567.29759065763142</v>
      </c>
      <c r="W33" s="160">
        <f t="shared" si="6"/>
        <v>562.71457234550826</v>
      </c>
      <c r="X33" s="160">
        <f t="shared" si="7"/>
        <v>562.86414621814572</v>
      </c>
      <c r="Y33" s="160">
        <f t="shared" si="8"/>
        <v>563.65966583821626</v>
      </c>
      <c r="Z33" s="160">
        <f t="shared" si="9"/>
        <v>563.84638033852775</v>
      </c>
      <c r="AA33" s="160">
        <f t="shared" si="10"/>
        <v>570.86038535266766</v>
      </c>
      <c r="AB33" s="160">
        <f t="shared" si="11"/>
        <v>581.3826220992222</v>
      </c>
      <c r="AC33" s="160">
        <f t="shared" si="12"/>
        <v>573.61261160475385</v>
      </c>
      <c r="AD33" s="160">
        <f t="shared" si="13"/>
        <v>558.59201304259636</v>
      </c>
      <c r="AE33" s="161">
        <f t="shared" si="14"/>
        <v>579.14343659183021</v>
      </c>
      <c r="AF33" s="6"/>
      <c r="AG33" s="37">
        <f t="shared" si="15"/>
        <v>568.39734240890994</v>
      </c>
      <c r="AI33" s="43"/>
      <c r="AJ33" s="43"/>
    </row>
    <row r="34" spans="3:36" x14ac:dyDescent="0.25">
      <c r="C34" s="219" t="s">
        <v>11</v>
      </c>
      <c r="D34" s="20"/>
      <c r="E34" s="213">
        <v>366.80955436007827</v>
      </c>
      <c r="F34" s="214">
        <v>426.36153660164331</v>
      </c>
      <c r="G34" s="214">
        <v>396.25347175689848</v>
      </c>
      <c r="H34" s="214">
        <v>309.99094912349909</v>
      </c>
      <c r="I34" s="214">
        <v>346.72449925515525</v>
      </c>
      <c r="J34" s="214">
        <v>315.91541425553191</v>
      </c>
      <c r="K34" s="214">
        <v>418.17114495876274</v>
      </c>
      <c r="L34" s="214">
        <v>331.15936825732655</v>
      </c>
      <c r="M34" s="214">
        <v>371.5090297165321</v>
      </c>
      <c r="N34" s="215">
        <v>371.0402699947989</v>
      </c>
      <c r="O34" s="6"/>
      <c r="P34" s="37">
        <f t="shared" si="4"/>
        <v>365.39352382802269</v>
      </c>
      <c r="R34" s="43"/>
      <c r="S34" s="43"/>
      <c r="U34" s="6"/>
      <c r="V34" s="159">
        <f t="shared" si="5"/>
        <v>590.48427879167832</v>
      </c>
      <c r="W34" s="160">
        <f t="shared" si="6"/>
        <v>605.52876638149189</v>
      </c>
      <c r="X34" s="160">
        <f t="shared" si="7"/>
        <v>598.20540866847136</v>
      </c>
      <c r="Y34" s="160">
        <f t="shared" si="8"/>
        <v>573.65431006771598</v>
      </c>
      <c r="Z34" s="160">
        <f t="shared" si="9"/>
        <v>584.85305143280902</v>
      </c>
      <c r="AA34" s="160">
        <f t="shared" si="10"/>
        <v>575.54745013486445</v>
      </c>
      <c r="AB34" s="160">
        <f t="shared" si="11"/>
        <v>603.58907864284026</v>
      </c>
      <c r="AC34" s="160">
        <f t="shared" si="12"/>
        <v>580.25997346027827</v>
      </c>
      <c r="AD34" s="160">
        <f t="shared" si="13"/>
        <v>591.75731699634537</v>
      </c>
      <c r="AE34" s="161">
        <f t="shared" si="14"/>
        <v>591.63106011772857</v>
      </c>
      <c r="AF34" s="6"/>
      <c r="AG34" s="37">
        <f t="shared" si="15"/>
        <v>589.55106946942237</v>
      </c>
      <c r="AI34" s="43"/>
      <c r="AJ34" s="43"/>
    </row>
    <row r="35" spans="3:36" x14ac:dyDescent="0.25">
      <c r="C35" s="219" t="s">
        <v>12</v>
      </c>
      <c r="D35" s="20"/>
      <c r="E35" s="213">
        <v>435.75907881679689</v>
      </c>
      <c r="F35" s="214">
        <v>396.50840297969739</v>
      </c>
      <c r="G35" s="214">
        <v>382.85245573190463</v>
      </c>
      <c r="H35" s="214">
        <v>414.24043257194018</v>
      </c>
      <c r="I35" s="214">
        <v>423.39688455081472</v>
      </c>
      <c r="J35" s="214">
        <v>442.90325467249238</v>
      </c>
      <c r="K35" s="214">
        <v>350.07965999651958</v>
      </c>
      <c r="L35" s="214">
        <v>395.92773242733301</v>
      </c>
      <c r="M35" s="214">
        <v>433.98923901013148</v>
      </c>
      <c r="N35" s="215">
        <v>396.4816884200128</v>
      </c>
      <c r="O35" s="6"/>
      <c r="P35" s="37">
        <f t="shared" si="4"/>
        <v>407.21388291776429</v>
      </c>
      <c r="R35" s="43"/>
      <c r="S35" s="43"/>
      <c r="U35" s="6"/>
      <c r="V35" s="159">
        <f t="shared" si="5"/>
        <v>607.70895191040199</v>
      </c>
      <c r="W35" s="160">
        <f t="shared" si="6"/>
        <v>598.26972337373411</v>
      </c>
      <c r="X35" s="160">
        <f t="shared" si="7"/>
        <v>594.7649681883355</v>
      </c>
      <c r="Y35" s="160">
        <f t="shared" si="8"/>
        <v>602.6446560257076</v>
      </c>
      <c r="Z35" s="160">
        <f t="shared" si="9"/>
        <v>604.83100005036761</v>
      </c>
      <c r="AA35" s="160">
        <f t="shared" si="10"/>
        <v>609.33513594514693</v>
      </c>
      <c r="AB35" s="160">
        <f t="shared" si="11"/>
        <v>585.81607285765665</v>
      </c>
      <c r="AC35" s="160">
        <f t="shared" si="12"/>
        <v>598.12317007300771</v>
      </c>
      <c r="AD35" s="160">
        <f t="shared" si="13"/>
        <v>607.30197388854754</v>
      </c>
      <c r="AE35" s="161">
        <f t="shared" si="14"/>
        <v>598.26298569567621</v>
      </c>
      <c r="AF35" s="6"/>
      <c r="AG35" s="37">
        <f t="shared" si="15"/>
        <v>600.7058638008582</v>
      </c>
      <c r="AI35" s="43"/>
      <c r="AJ35" s="43"/>
    </row>
    <row r="36" spans="3:36" x14ac:dyDescent="0.25">
      <c r="C36" s="219" t="s">
        <v>13</v>
      </c>
      <c r="D36" s="20"/>
      <c r="E36" s="213">
        <v>648.09234472850108</v>
      </c>
      <c r="F36" s="214">
        <v>605.84944169791117</v>
      </c>
      <c r="G36" s="214">
        <v>509.07728245787911</v>
      </c>
      <c r="H36" s="214">
        <v>568.01241915908906</v>
      </c>
      <c r="I36" s="214">
        <v>493.67136866698792</v>
      </c>
      <c r="J36" s="214">
        <v>463.90439604674185</v>
      </c>
      <c r="K36" s="214">
        <v>504.99355513495584</v>
      </c>
      <c r="L36" s="214">
        <v>507.32910967928933</v>
      </c>
      <c r="M36" s="214">
        <v>400.26245338662358</v>
      </c>
      <c r="N36" s="215">
        <v>437.11166350980409</v>
      </c>
      <c r="O36" s="6"/>
      <c r="P36" s="37">
        <f t="shared" si="4"/>
        <v>513.8304034467784</v>
      </c>
      <c r="R36" s="43"/>
      <c r="S36" s="43"/>
      <c r="U36" s="6"/>
      <c r="V36" s="159">
        <f t="shared" si="5"/>
        <v>647.40331934961443</v>
      </c>
      <c r="W36" s="160">
        <f t="shared" si="6"/>
        <v>640.66315091584329</v>
      </c>
      <c r="X36" s="160">
        <f t="shared" si="7"/>
        <v>623.25998369660431</v>
      </c>
      <c r="Y36" s="160">
        <f t="shared" si="8"/>
        <v>634.21432831988284</v>
      </c>
      <c r="Z36" s="160">
        <f t="shared" si="9"/>
        <v>620.18700502004901</v>
      </c>
      <c r="AA36" s="160">
        <f t="shared" si="10"/>
        <v>613.96784879937684</v>
      </c>
      <c r="AB36" s="160">
        <f t="shared" si="11"/>
        <v>622.45456670849251</v>
      </c>
      <c r="AC36" s="160">
        <f t="shared" si="12"/>
        <v>622.91599245137866</v>
      </c>
      <c r="AD36" s="160">
        <f t="shared" si="13"/>
        <v>599.21204654130895</v>
      </c>
      <c r="AE36" s="161">
        <f t="shared" si="14"/>
        <v>608.01886853609028</v>
      </c>
      <c r="AF36" s="6"/>
      <c r="AG36" s="37">
        <f t="shared" si="15"/>
        <v>623.22971103386408</v>
      </c>
      <c r="AI36" s="43"/>
      <c r="AJ36" s="43"/>
    </row>
    <row r="37" spans="3:36" x14ac:dyDescent="0.25">
      <c r="C37" s="219" t="s">
        <v>14</v>
      </c>
      <c r="D37" s="20"/>
      <c r="E37" s="213">
        <v>509.88659187329466</v>
      </c>
      <c r="F37" s="214">
        <v>503.75319507651602</v>
      </c>
      <c r="G37" s="214">
        <v>457.19412705180667</v>
      </c>
      <c r="H37" s="214">
        <v>583.30330320538962</v>
      </c>
      <c r="I37" s="214">
        <v>442.02312416680303</v>
      </c>
      <c r="J37" s="214">
        <v>447.43941312176406</v>
      </c>
      <c r="K37" s="214">
        <v>531.741590675569</v>
      </c>
      <c r="L37" s="214">
        <v>516.87488151664456</v>
      </c>
      <c r="M37" s="214">
        <v>494.2564063537468</v>
      </c>
      <c r="N37" s="215">
        <v>509.59646862828987</v>
      </c>
      <c r="O37" s="6"/>
      <c r="P37" s="37">
        <f t="shared" si="4"/>
        <v>499.6069101669824</v>
      </c>
      <c r="R37" s="43"/>
      <c r="S37" s="43"/>
      <c r="U37" s="6"/>
      <c r="V37" s="159">
        <f t="shared" si="5"/>
        <v>623.41883321148543</v>
      </c>
      <c r="W37" s="160">
        <f t="shared" si="6"/>
        <v>622.2086455824433</v>
      </c>
      <c r="X37" s="160">
        <f t="shared" si="7"/>
        <v>612.5108086369662</v>
      </c>
      <c r="Y37" s="160">
        <f t="shared" si="8"/>
        <v>636.87072967049664</v>
      </c>
      <c r="Z37" s="160">
        <f t="shared" si="9"/>
        <v>609.13621978286687</v>
      </c>
      <c r="AA37" s="160">
        <f t="shared" si="10"/>
        <v>610.35411388768659</v>
      </c>
      <c r="AB37" s="160">
        <f t="shared" si="11"/>
        <v>627.61576395228929</v>
      </c>
      <c r="AC37" s="160">
        <f t="shared" si="12"/>
        <v>624.78008365477376</v>
      </c>
      <c r="AD37" s="160">
        <f t="shared" si="13"/>
        <v>620.30544237345464</v>
      </c>
      <c r="AE37" s="161">
        <f t="shared" si="14"/>
        <v>623.36191745406347</v>
      </c>
      <c r="AF37" s="6"/>
      <c r="AG37" s="37">
        <f t="shared" si="15"/>
        <v>621.05625582065272</v>
      </c>
      <c r="AI37" s="43"/>
      <c r="AJ37" s="43"/>
    </row>
    <row r="38" spans="3:36" x14ac:dyDescent="0.25">
      <c r="C38" s="219" t="s">
        <v>15</v>
      </c>
      <c r="D38" s="20"/>
      <c r="E38" s="213">
        <v>249.32485595106789</v>
      </c>
      <c r="F38" s="214">
        <v>272.15991293262857</v>
      </c>
      <c r="G38" s="214">
        <v>285.98133015088513</v>
      </c>
      <c r="H38" s="214">
        <v>237.57743797913281</v>
      </c>
      <c r="I38" s="214">
        <v>299.00936610469097</v>
      </c>
      <c r="J38" s="214">
        <v>259.76267742797353</v>
      </c>
      <c r="K38" s="214">
        <v>316.98432810237972</v>
      </c>
      <c r="L38" s="214">
        <v>298.0977064847512</v>
      </c>
      <c r="M38" s="214">
        <v>258.64513959238707</v>
      </c>
      <c r="N38" s="215">
        <v>267.55437452930613</v>
      </c>
      <c r="O38" s="6"/>
      <c r="P38" s="37">
        <f t="shared" si="4"/>
        <v>274.50971292552032</v>
      </c>
      <c r="R38" s="43"/>
      <c r="S38" s="43"/>
      <c r="U38" s="6"/>
      <c r="V38" s="159">
        <f t="shared" si="5"/>
        <v>551.87566885320962</v>
      </c>
      <c r="W38" s="160">
        <f t="shared" si="6"/>
        <v>560.63898087350537</v>
      </c>
      <c r="X38" s="160">
        <f t="shared" si="7"/>
        <v>565.59265294963643</v>
      </c>
      <c r="Y38" s="160">
        <f t="shared" si="8"/>
        <v>547.04936249794105</v>
      </c>
      <c r="Z38" s="160">
        <f t="shared" si="9"/>
        <v>570.04748976649284</v>
      </c>
      <c r="AA38" s="160">
        <f t="shared" si="10"/>
        <v>555.97684350558131</v>
      </c>
      <c r="AB38" s="160">
        <f t="shared" si="11"/>
        <v>575.8852334492334</v>
      </c>
      <c r="AC38" s="160">
        <f t="shared" si="12"/>
        <v>569.74213068763379</v>
      </c>
      <c r="AD38" s="160">
        <f t="shared" si="13"/>
        <v>555.54570048265566</v>
      </c>
      <c r="AE38" s="161">
        <f t="shared" si="14"/>
        <v>558.93228149480967</v>
      </c>
      <c r="AF38" s="6"/>
      <c r="AG38" s="37">
        <f t="shared" si="15"/>
        <v>561.1286344560699</v>
      </c>
      <c r="AI38" s="43"/>
      <c r="AJ38" s="43"/>
    </row>
    <row r="39" spans="3:36" x14ac:dyDescent="0.25">
      <c r="C39" s="219" t="s">
        <v>16</v>
      </c>
      <c r="D39" s="20"/>
      <c r="E39" s="213">
        <v>335.52584324736887</v>
      </c>
      <c r="F39" s="214">
        <v>292.65210968495842</v>
      </c>
      <c r="G39" s="214">
        <v>290.77836067702009</v>
      </c>
      <c r="H39" s="214">
        <v>348.20663384273956</v>
      </c>
      <c r="I39" s="214">
        <v>387.07943677488606</v>
      </c>
      <c r="J39" s="214">
        <v>309.74425148888417</v>
      </c>
      <c r="K39" s="214">
        <v>390.59758010879824</v>
      </c>
      <c r="L39" s="214">
        <v>389.63886363350935</v>
      </c>
      <c r="M39" s="214">
        <v>377.29569364470655</v>
      </c>
      <c r="N39" s="215">
        <v>354.80170983029643</v>
      </c>
      <c r="O39" s="6"/>
      <c r="P39" s="37">
        <f t="shared" si="4"/>
        <v>347.63204829331681</v>
      </c>
      <c r="R39" s="43"/>
      <c r="S39" s="43"/>
      <c r="U39" s="6"/>
      <c r="V39" s="159">
        <f t="shared" si="5"/>
        <v>581.56989824984123</v>
      </c>
      <c r="W39" s="160">
        <f t="shared" si="6"/>
        <v>567.89845646125218</v>
      </c>
      <c r="X39" s="160">
        <f t="shared" si="7"/>
        <v>567.25613298129258</v>
      </c>
      <c r="Y39" s="160">
        <f t="shared" si="8"/>
        <v>585.27960789697784</v>
      </c>
      <c r="Z39" s="160">
        <f t="shared" si="9"/>
        <v>595.86299349504191</v>
      </c>
      <c r="AA39" s="160">
        <f t="shared" si="10"/>
        <v>573.57469617862216</v>
      </c>
      <c r="AB39" s="160">
        <f t="shared" si="11"/>
        <v>596.76778231054107</v>
      </c>
      <c r="AC39" s="160">
        <f t="shared" si="12"/>
        <v>596.52203194461595</v>
      </c>
      <c r="AD39" s="160">
        <f t="shared" si="13"/>
        <v>593.30292132944919</v>
      </c>
      <c r="AE39" s="161">
        <f t="shared" si="14"/>
        <v>587.15590695621904</v>
      </c>
      <c r="AF39" s="6"/>
      <c r="AG39" s="37">
        <f t="shared" si="15"/>
        <v>584.51904278038523</v>
      </c>
      <c r="AI39" s="43"/>
      <c r="AJ39" s="43"/>
    </row>
    <row r="40" spans="3:36" x14ac:dyDescent="0.25">
      <c r="C40" s="219" t="s">
        <v>17</v>
      </c>
      <c r="D40" s="20"/>
      <c r="E40" s="213">
        <v>479.66446386426537</v>
      </c>
      <c r="F40" s="214">
        <v>456.38421187702926</v>
      </c>
      <c r="G40" s="214">
        <v>459.26381187410834</v>
      </c>
      <c r="H40" s="214">
        <v>491.97523616098329</v>
      </c>
      <c r="I40" s="214">
        <v>457.9951475540804</v>
      </c>
      <c r="J40" s="214">
        <v>420.92768955009331</v>
      </c>
      <c r="K40" s="214">
        <v>508.96627675867177</v>
      </c>
      <c r="L40" s="214">
        <v>441.36445709378495</v>
      </c>
      <c r="M40" s="214">
        <v>468.79961802464317</v>
      </c>
      <c r="N40" s="215">
        <v>486.67096375452019</v>
      </c>
      <c r="O40" s="6"/>
      <c r="P40" s="37">
        <f t="shared" si="4"/>
        <v>467.20118765121799</v>
      </c>
      <c r="R40" s="43"/>
      <c r="S40" s="43"/>
      <c r="U40" s="6"/>
      <c r="V40" s="159">
        <f t="shared" si="5"/>
        <v>617.3086825847904</v>
      </c>
      <c r="W40" s="160">
        <f t="shared" si="6"/>
        <v>612.333502465739</v>
      </c>
      <c r="X40" s="160">
        <f t="shared" si="7"/>
        <v>612.96247984913532</v>
      </c>
      <c r="Y40" s="160">
        <f t="shared" si="8"/>
        <v>619.84283822194288</v>
      </c>
      <c r="Z40" s="160">
        <f t="shared" si="9"/>
        <v>612.68585891979728</v>
      </c>
      <c r="AA40" s="160">
        <f t="shared" si="10"/>
        <v>604.24610601417749</v>
      </c>
      <c r="AB40" s="160">
        <f t="shared" si="11"/>
        <v>623.23817604433987</v>
      </c>
      <c r="AC40" s="160">
        <f t="shared" si="12"/>
        <v>608.98709674581028</v>
      </c>
      <c r="AD40" s="160">
        <f t="shared" si="13"/>
        <v>615.01754234686211</v>
      </c>
      <c r="AE40" s="161">
        <f t="shared" si="14"/>
        <v>618.75882556278668</v>
      </c>
      <c r="AF40" s="6"/>
      <c r="AG40" s="37">
        <f t="shared" si="15"/>
        <v>614.53811087553811</v>
      </c>
      <c r="AI40" s="43"/>
      <c r="AJ40" s="43"/>
    </row>
    <row r="41" spans="3:36" x14ac:dyDescent="0.25">
      <c r="C41" s="219" t="s">
        <v>18</v>
      </c>
      <c r="D41" s="20"/>
      <c r="E41" s="213">
        <v>357.54110781674973</v>
      </c>
      <c r="F41" s="214">
        <v>298.42244452083912</v>
      </c>
      <c r="G41" s="214">
        <v>270.57192164365449</v>
      </c>
      <c r="H41" s="214">
        <v>362.7488327516636</v>
      </c>
      <c r="I41" s="214">
        <v>321.25643719244226</v>
      </c>
      <c r="J41" s="214">
        <v>299.86655115915306</v>
      </c>
      <c r="K41" s="214">
        <v>366.13151959593313</v>
      </c>
      <c r="L41" s="214">
        <v>330.66196693840698</v>
      </c>
      <c r="M41" s="214">
        <v>265.5910714195993</v>
      </c>
      <c r="N41" s="215">
        <v>327.69725549049588</v>
      </c>
      <c r="O41" s="6"/>
      <c r="P41" s="37">
        <f t="shared" si="4"/>
        <v>320.04891085289375</v>
      </c>
      <c r="R41" s="43"/>
      <c r="S41" s="43"/>
      <c r="U41" s="6"/>
      <c r="V41" s="159">
        <f t="shared" si="5"/>
        <v>587.92503424235747</v>
      </c>
      <c r="W41" s="160">
        <f t="shared" si="6"/>
        <v>569.85100817236582</v>
      </c>
      <c r="X41" s="160">
        <f t="shared" si="7"/>
        <v>560.05379470256821</v>
      </c>
      <c r="Y41" s="160">
        <f t="shared" si="8"/>
        <v>589.37106739828653</v>
      </c>
      <c r="Z41" s="160">
        <f t="shared" si="9"/>
        <v>577.22396739618</v>
      </c>
      <c r="AA41" s="160">
        <f t="shared" si="10"/>
        <v>570.33375462207334</v>
      </c>
      <c r="AB41" s="160">
        <f t="shared" si="11"/>
        <v>590.29926120113635</v>
      </c>
      <c r="AC41" s="160">
        <f t="shared" si="12"/>
        <v>580.10966056278767</v>
      </c>
      <c r="AD41" s="160">
        <f t="shared" si="13"/>
        <v>558.19578003941524</v>
      </c>
      <c r="AE41" s="161">
        <f t="shared" si="14"/>
        <v>579.20901806025506</v>
      </c>
      <c r="AF41" s="6"/>
      <c r="AG41" s="37">
        <f t="shared" si="15"/>
        <v>576.25723463974259</v>
      </c>
      <c r="AI41" s="43"/>
      <c r="AJ41" s="43"/>
    </row>
    <row r="42" spans="3:36" x14ac:dyDescent="0.25">
      <c r="C42" s="219" t="s">
        <v>19</v>
      </c>
      <c r="D42" s="20"/>
      <c r="E42" s="213">
        <v>775.36620712495733</v>
      </c>
      <c r="F42" s="214">
        <v>708.62381094854993</v>
      </c>
      <c r="G42" s="214">
        <v>604.01915288204577</v>
      </c>
      <c r="H42" s="214">
        <v>576.40178084826709</v>
      </c>
      <c r="I42" s="214">
        <v>722.85890264052034</v>
      </c>
      <c r="J42" s="214">
        <v>577.06066775382419</v>
      </c>
      <c r="K42" s="214">
        <v>646.37724636859002</v>
      </c>
      <c r="L42" s="214">
        <v>740.5099357185286</v>
      </c>
      <c r="M42" s="214">
        <v>637.88338985405517</v>
      </c>
      <c r="N42" s="215">
        <v>564.05840284628493</v>
      </c>
      <c r="O42" s="6"/>
      <c r="P42" s="37">
        <f t="shared" si="4"/>
        <v>655.31594969856235</v>
      </c>
      <c r="R42" s="43"/>
      <c r="S42" s="43"/>
      <c r="U42" s="6"/>
      <c r="V42" s="159">
        <f t="shared" si="5"/>
        <v>665.3335443070938</v>
      </c>
      <c r="W42" s="160">
        <f t="shared" si="6"/>
        <v>656.33247946731183</v>
      </c>
      <c r="X42" s="160">
        <f t="shared" si="7"/>
        <v>640.36059075016738</v>
      </c>
      <c r="Y42" s="160">
        <f t="shared" si="8"/>
        <v>635.6804953725499</v>
      </c>
      <c r="Z42" s="160">
        <f t="shared" si="9"/>
        <v>658.32140477061682</v>
      </c>
      <c r="AA42" s="160">
        <f t="shared" si="10"/>
        <v>635.7947404401757</v>
      </c>
      <c r="AB42" s="160">
        <f t="shared" si="11"/>
        <v>647.138330604369</v>
      </c>
      <c r="AC42" s="160">
        <f t="shared" si="12"/>
        <v>660.73390511985656</v>
      </c>
      <c r="AD42" s="160">
        <f t="shared" si="13"/>
        <v>645.81554921160671</v>
      </c>
      <c r="AE42" s="161">
        <f t="shared" si="14"/>
        <v>633.51577972829045</v>
      </c>
      <c r="AF42" s="6"/>
      <c r="AG42" s="37">
        <f t="shared" si="15"/>
        <v>647.90268197720377</v>
      </c>
      <c r="AI42" s="43"/>
      <c r="AJ42" s="43"/>
    </row>
    <row r="43" spans="3:36" x14ac:dyDescent="0.25">
      <c r="C43" s="219" t="s">
        <v>20</v>
      </c>
      <c r="D43" s="20"/>
      <c r="E43" s="213">
        <v>208.29532521626069</v>
      </c>
      <c r="F43" s="214">
        <v>269.12070046707902</v>
      </c>
      <c r="G43" s="214">
        <v>278.48203638621538</v>
      </c>
      <c r="H43" s="214">
        <v>264.19820005714678</v>
      </c>
      <c r="I43" s="214">
        <v>238.39905419203768</v>
      </c>
      <c r="J43" s="214">
        <v>278.22212379860088</v>
      </c>
      <c r="K43" s="214">
        <v>297.8137259373072</v>
      </c>
      <c r="L43" s="214">
        <v>283.39943029535203</v>
      </c>
      <c r="M43" s="214">
        <v>273.72334324716047</v>
      </c>
      <c r="N43" s="215">
        <v>238.03641650468705</v>
      </c>
      <c r="O43" s="6"/>
      <c r="P43" s="37">
        <f t="shared" si="4"/>
        <v>262.96903561018473</v>
      </c>
      <c r="R43" s="43"/>
      <c r="S43" s="43"/>
      <c r="U43" s="6"/>
      <c r="V43" s="159">
        <f t="shared" si="5"/>
        <v>533.89569054623314</v>
      </c>
      <c r="W43" s="160">
        <f t="shared" si="6"/>
        <v>559.51599795869299</v>
      </c>
      <c r="X43" s="160">
        <f t="shared" si="7"/>
        <v>562.93535559808117</v>
      </c>
      <c r="Y43" s="160">
        <f t="shared" si="8"/>
        <v>557.66995792608793</v>
      </c>
      <c r="Z43" s="160">
        <f t="shared" si="9"/>
        <v>547.39459678680464</v>
      </c>
      <c r="AA43" s="160">
        <f t="shared" si="10"/>
        <v>562.84198011246849</v>
      </c>
      <c r="AB43" s="160">
        <f t="shared" si="11"/>
        <v>569.64682103136931</v>
      </c>
      <c r="AC43" s="160">
        <f t="shared" si="12"/>
        <v>564.6857317005273</v>
      </c>
      <c r="AD43" s="160">
        <f t="shared" si="13"/>
        <v>561.21179001232542</v>
      </c>
      <c r="AE43" s="161">
        <f t="shared" si="14"/>
        <v>547.2423672490454</v>
      </c>
      <c r="AF43" s="6"/>
      <c r="AG43" s="37">
        <f t="shared" si="15"/>
        <v>556.70402889216371</v>
      </c>
      <c r="AI43" s="43"/>
      <c r="AJ43" s="43"/>
    </row>
    <row r="44" spans="3:36" x14ac:dyDescent="0.25">
      <c r="C44" s="219" t="s">
        <v>22</v>
      </c>
      <c r="D44" s="20"/>
      <c r="E44" s="213">
        <v>399.48995067433083</v>
      </c>
      <c r="F44" s="214">
        <v>312.56297685591773</v>
      </c>
      <c r="G44" s="214">
        <v>449.92470566121381</v>
      </c>
      <c r="H44" s="214">
        <v>355.11607678559182</v>
      </c>
      <c r="I44" s="214">
        <v>423.7425019048091</v>
      </c>
      <c r="J44" s="214">
        <v>396.19202595123187</v>
      </c>
      <c r="K44" s="214">
        <v>448.40419895861174</v>
      </c>
      <c r="L44" s="214">
        <v>382.683496057963</v>
      </c>
      <c r="M44" s="214">
        <v>397.08271338552964</v>
      </c>
      <c r="N44" s="215">
        <v>412.09404397311363</v>
      </c>
      <c r="O44" s="6"/>
      <c r="P44" s="37">
        <f t="shared" si="4"/>
        <v>397.72926902083128</v>
      </c>
      <c r="R44" s="43"/>
      <c r="S44" s="43"/>
      <c r="U44" s="6"/>
      <c r="V44" s="159">
        <f t="shared" si="5"/>
        <v>599.01886101323237</v>
      </c>
      <c r="W44" s="160">
        <f t="shared" si="6"/>
        <v>574.4805974811768</v>
      </c>
      <c r="X44" s="160">
        <f t="shared" si="7"/>
        <v>610.90802480118282</v>
      </c>
      <c r="Y44" s="160">
        <f t="shared" si="8"/>
        <v>587.24447128909537</v>
      </c>
      <c r="Z44" s="160">
        <f t="shared" si="9"/>
        <v>604.91259639181885</v>
      </c>
      <c r="AA44" s="160">
        <f t="shared" si="10"/>
        <v>598.18990077399349</v>
      </c>
      <c r="AB44" s="160">
        <f t="shared" si="11"/>
        <v>610.56950554686375</v>
      </c>
      <c r="AC44" s="160">
        <f t="shared" si="12"/>
        <v>594.72082664898915</v>
      </c>
      <c r="AD44" s="160">
        <f t="shared" si="13"/>
        <v>598.41446050454329</v>
      </c>
      <c r="AE44" s="161">
        <f t="shared" si="14"/>
        <v>602.12515853723676</v>
      </c>
      <c r="AF44" s="6"/>
      <c r="AG44" s="37">
        <f t="shared" si="15"/>
        <v>598.05844029881314</v>
      </c>
      <c r="AI44" s="43"/>
      <c r="AJ44" s="43"/>
    </row>
    <row r="45" spans="3:36" x14ac:dyDescent="0.25">
      <c r="C45" s="219" t="s">
        <v>21</v>
      </c>
      <c r="D45" s="20"/>
      <c r="E45" s="213">
        <v>261.44126362856531</v>
      </c>
      <c r="F45" s="214">
        <v>289.34129870572133</v>
      </c>
      <c r="G45" s="214">
        <v>256.9536564110872</v>
      </c>
      <c r="H45" s="214">
        <v>248.22442306912228</v>
      </c>
      <c r="I45" s="214">
        <v>228.41431149439617</v>
      </c>
      <c r="J45" s="214">
        <v>241.66993250511882</v>
      </c>
      <c r="K45" s="214">
        <v>251.41503438442484</v>
      </c>
      <c r="L45" s="214">
        <v>265.53943989630324</v>
      </c>
      <c r="M45" s="214">
        <v>304.51907885405302</v>
      </c>
      <c r="N45" s="215">
        <v>251.70877786702152</v>
      </c>
      <c r="O45" s="6"/>
      <c r="P45" s="37">
        <f t="shared" si="4"/>
        <v>259.92272168158138</v>
      </c>
      <c r="R45" s="43"/>
      <c r="S45" s="43"/>
      <c r="U45" s="6"/>
      <c r="V45" s="159">
        <f t="shared" si="5"/>
        <v>556.62096450005527</v>
      </c>
      <c r="W45" s="160">
        <f t="shared" si="6"/>
        <v>566.76069557021935</v>
      </c>
      <c r="X45" s="160">
        <f t="shared" si="7"/>
        <v>554.88957433859798</v>
      </c>
      <c r="Y45" s="160">
        <f t="shared" si="8"/>
        <v>551.43332686914448</v>
      </c>
      <c r="Z45" s="160">
        <f t="shared" si="9"/>
        <v>543.11611356016329</v>
      </c>
      <c r="AA45" s="160">
        <f t="shared" si="10"/>
        <v>548.75728799095396</v>
      </c>
      <c r="AB45" s="160">
        <f t="shared" si="11"/>
        <v>552.710509701094</v>
      </c>
      <c r="AC45" s="160">
        <f t="shared" si="12"/>
        <v>558.17633791648734</v>
      </c>
      <c r="AD45" s="160">
        <f t="shared" si="13"/>
        <v>571.87337415222748</v>
      </c>
      <c r="AE45" s="161">
        <f t="shared" si="14"/>
        <v>552.82727758558667</v>
      </c>
      <c r="AF45" s="6"/>
      <c r="AG45" s="37">
        <f t="shared" si="15"/>
        <v>555.716546218453</v>
      </c>
      <c r="AI45" s="43"/>
      <c r="AJ45" s="43"/>
    </row>
    <row r="46" spans="3:36" x14ac:dyDescent="0.25">
      <c r="C46" s="219" t="s">
        <v>23</v>
      </c>
      <c r="D46" s="20"/>
      <c r="E46" s="216">
        <v>543.78940592632011</v>
      </c>
      <c r="F46" s="217">
        <v>510.79539485751781</v>
      </c>
      <c r="G46" s="217">
        <v>448.1429409968141</v>
      </c>
      <c r="H46" s="217">
        <v>512.1218143859054</v>
      </c>
      <c r="I46" s="217">
        <v>518.75397695052857</v>
      </c>
      <c r="J46" s="217">
        <v>464.34589155309311</v>
      </c>
      <c r="K46" s="217">
        <v>520.64993439466127</v>
      </c>
      <c r="L46" s="217">
        <v>507.3685203988411</v>
      </c>
      <c r="M46" s="217">
        <v>503.24878872418935</v>
      </c>
      <c r="N46" s="218">
        <v>458.46080851823007</v>
      </c>
      <c r="O46" s="6"/>
      <c r="P46" s="37">
        <f t="shared" si="4"/>
        <v>498.76774767061005</v>
      </c>
      <c r="R46" s="43"/>
      <c r="S46" s="43"/>
      <c r="U46" s="6"/>
      <c r="V46" s="162">
        <f t="shared" si="5"/>
        <v>629.85620504461167</v>
      </c>
      <c r="W46" s="163">
        <f t="shared" si="6"/>
        <v>623.59691085686404</v>
      </c>
      <c r="X46" s="163">
        <f t="shared" si="7"/>
        <v>610.51122462496915</v>
      </c>
      <c r="Y46" s="163">
        <f t="shared" si="8"/>
        <v>623.8562515463808</v>
      </c>
      <c r="Z46" s="163">
        <f t="shared" si="9"/>
        <v>625.14297379261791</v>
      </c>
      <c r="AA46" s="163">
        <f t="shared" si="10"/>
        <v>614.0629730445379</v>
      </c>
      <c r="AB46" s="163">
        <f t="shared" si="11"/>
        <v>625.50779049692926</v>
      </c>
      <c r="AC46" s="163">
        <f t="shared" si="12"/>
        <v>622.92376042449757</v>
      </c>
      <c r="AD46" s="163">
        <f t="shared" si="13"/>
        <v>622.10846576102767</v>
      </c>
      <c r="AE46" s="164">
        <f t="shared" si="14"/>
        <v>612.78748104383681</v>
      </c>
      <c r="AF46" s="6"/>
      <c r="AG46" s="37">
        <f t="shared" si="15"/>
        <v>621.03540366362722</v>
      </c>
      <c r="AI46" s="43"/>
      <c r="AJ46" s="43"/>
    </row>
    <row r="47" spans="3:36" x14ac:dyDescent="0.25">
      <c r="D47" s="3"/>
      <c r="E47" s="3"/>
      <c r="F47" s="3"/>
      <c r="G47" s="3"/>
      <c r="H47" s="3"/>
      <c r="I47" s="3"/>
      <c r="J47" s="3"/>
      <c r="K47" s="3"/>
      <c r="L47" s="3"/>
      <c r="M47" s="3"/>
      <c r="N47" s="3"/>
      <c r="O47" s="3"/>
      <c r="P47" s="3"/>
      <c r="R47" s="43"/>
      <c r="S47" s="43"/>
      <c r="U47" s="3"/>
      <c r="V47" s="3"/>
      <c r="W47" s="3"/>
      <c r="X47" s="3"/>
      <c r="Y47" s="3"/>
      <c r="Z47" s="3"/>
      <c r="AA47" s="3"/>
      <c r="AB47" s="3"/>
      <c r="AF47" s="3"/>
      <c r="AG47" s="3"/>
      <c r="AI47" s="43"/>
      <c r="AJ47" s="43"/>
    </row>
    <row r="48" spans="3:36" x14ac:dyDescent="0.25">
      <c r="F48" s="6"/>
      <c r="G48" s="6"/>
      <c r="H48" s="6"/>
      <c r="I48" s="6"/>
      <c r="J48" s="6"/>
      <c r="K48" s="6"/>
      <c r="L48" s="6"/>
      <c r="M48" s="6"/>
      <c r="N48" s="6"/>
      <c r="O48" s="41" t="s">
        <v>2</v>
      </c>
      <c r="P48" s="40">
        <f>AVERAGE(P26:P46)</f>
        <v>416.99454286384162</v>
      </c>
      <c r="Q48" s="133" t="s">
        <v>1</v>
      </c>
      <c r="R48" s="43"/>
      <c r="S48" s="43"/>
      <c r="U48" s="6"/>
      <c r="V48" s="6"/>
      <c r="W48" s="6"/>
      <c r="X48" s="6"/>
      <c r="Y48" s="6"/>
      <c r="Z48" s="6"/>
      <c r="AA48" s="6"/>
      <c r="AB48" s="6"/>
      <c r="AC48" s="6"/>
      <c r="AD48" s="6"/>
      <c r="AE48" s="6"/>
      <c r="AF48" s="41" t="s">
        <v>2</v>
      </c>
      <c r="AG48" s="40">
        <f>AVERAGE(AG26:AG46)</f>
        <v>597.72831634313047</v>
      </c>
      <c r="AH48" s="133" t="s">
        <v>1</v>
      </c>
      <c r="AI48" s="43"/>
      <c r="AJ48" s="43"/>
    </row>
    <row r="49" spans="3:34" x14ac:dyDescent="0.25">
      <c r="D49" s="34" t="s">
        <v>2</v>
      </c>
      <c r="E49" s="35">
        <f t="shared" ref="E49:N49" si="16">AVERAGE(E27:E46)</f>
        <v>456.57090413000799</v>
      </c>
      <c r="F49" s="35">
        <f t="shared" si="16"/>
        <v>419.22398400109222</v>
      </c>
      <c r="G49" s="35">
        <f t="shared" si="16"/>
        <v>399.80606646703438</v>
      </c>
      <c r="H49" s="35">
        <f t="shared" si="16"/>
        <v>419.57432017479039</v>
      </c>
      <c r="I49" s="35">
        <f t="shared" si="16"/>
        <v>410.11888523210911</v>
      </c>
      <c r="J49" s="35">
        <f t="shared" si="16"/>
        <v>391.75863045853629</v>
      </c>
      <c r="K49" s="35">
        <f t="shared" si="16"/>
        <v>439.90823450692579</v>
      </c>
      <c r="L49" s="35">
        <f t="shared" si="16"/>
        <v>427.83923611928992</v>
      </c>
      <c r="M49" s="35">
        <f t="shared" si="16"/>
        <v>400.20161273607039</v>
      </c>
      <c r="N49" s="35">
        <f t="shared" si="16"/>
        <v>404.94355481255928</v>
      </c>
      <c r="O49" s="40">
        <f>AVERAGE(E49:N49)</f>
        <v>416.99454286384162</v>
      </c>
      <c r="P49" s="40">
        <f>AVERAGE(E27:N46)</f>
        <v>416.99454286384133</v>
      </c>
      <c r="Q49" s="134">
        <f>STDEV(E49:N49)</f>
        <v>20.075848246301593</v>
      </c>
      <c r="U49" s="34" t="s">
        <v>2</v>
      </c>
      <c r="V49" s="35">
        <f t="shared" ref="V49:AE49" si="17">AVERAGE(V27:V46)</f>
        <v>604.03357025404898</v>
      </c>
      <c r="W49" s="35">
        <f t="shared" si="17"/>
        <v>597.84075655487095</v>
      </c>
      <c r="X49" s="35">
        <f t="shared" si="17"/>
        <v>594.59662676531173</v>
      </c>
      <c r="Y49" s="35">
        <f t="shared" si="17"/>
        <v>597.56147510730739</v>
      </c>
      <c r="Z49" s="35">
        <f t="shared" si="17"/>
        <v>596.15162971404061</v>
      </c>
      <c r="AA49" s="35">
        <f t="shared" si="17"/>
        <v>592.18174569227881</v>
      </c>
      <c r="AB49" s="35">
        <f t="shared" si="17"/>
        <v>604.0912406560094</v>
      </c>
      <c r="AC49" s="35">
        <f t="shared" si="17"/>
        <v>600.75337140636907</v>
      </c>
      <c r="AD49" s="35">
        <f t="shared" si="17"/>
        <v>594.45757603403388</v>
      </c>
      <c r="AE49" s="35">
        <f t="shared" si="17"/>
        <v>595.61517124703312</v>
      </c>
      <c r="AF49" s="40">
        <f>AVERAGE(V49:AE49)</f>
        <v>597.72831634313047</v>
      </c>
      <c r="AG49" s="40">
        <f>AVERAGE(V27:AE46)</f>
        <v>597.72831634313081</v>
      </c>
      <c r="AH49" s="135">
        <f>STDEV(V49:AE49)</f>
        <v>4.0504521053164151</v>
      </c>
    </row>
    <row r="50" spans="3:34" ht="13.8" thickBot="1" x14ac:dyDescent="0.3">
      <c r="E50"/>
      <c r="F50"/>
      <c r="G50"/>
      <c r="H50"/>
      <c r="I50"/>
      <c r="J50"/>
      <c r="K50"/>
      <c r="L50"/>
      <c r="M50"/>
      <c r="N50"/>
      <c r="O50" s="130" t="s">
        <v>1</v>
      </c>
      <c r="P50" s="131">
        <f>STDEV(P27:P46)</f>
        <v>133.75349528494255</v>
      </c>
      <c r="Q50" s="132">
        <f>STDEV(E27:N46)</f>
        <v>137.5590662324058</v>
      </c>
      <c r="R50"/>
      <c r="S50"/>
      <c r="T50"/>
      <c r="U50"/>
      <c r="V50"/>
      <c r="W50"/>
      <c r="X50"/>
      <c r="Y50"/>
      <c r="AF50" s="130" t="s">
        <v>1</v>
      </c>
      <c r="AG50" s="135">
        <f>STDEV(AG27:AG46)</f>
        <v>33.332677804462541</v>
      </c>
      <c r="AH50" s="135">
        <f>STDEV(V27:AE46)</f>
        <v>33.941679420474685</v>
      </c>
    </row>
    <row r="51" spans="3:34" x14ac:dyDescent="0.25">
      <c r="C51" s="153" t="s">
        <v>24</v>
      </c>
      <c r="D51" s="110"/>
      <c r="E51" s="111"/>
      <c r="F51" s="112" t="s">
        <v>57</v>
      </c>
      <c r="G51" s="112" t="s">
        <v>58</v>
      </c>
      <c r="H51" s="112" t="s">
        <v>74</v>
      </c>
      <c r="I51" s="113" t="s">
        <v>75</v>
      </c>
      <c r="J51" s="5"/>
      <c r="K51" s="5"/>
      <c r="L51" s="5"/>
      <c r="M51" s="5"/>
      <c r="N51" s="5"/>
      <c r="O51" s="5"/>
      <c r="S51" s="155"/>
      <c r="T51" s="102"/>
      <c r="U51" s="102"/>
      <c r="V51" s="154" t="s">
        <v>78</v>
      </c>
      <c r="W51" s="112" t="s">
        <v>57</v>
      </c>
      <c r="X51" s="112" t="s">
        <v>58</v>
      </c>
      <c r="Y51" s="112" t="s">
        <v>74</v>
      </c>
      <c r="Z51" s="113" t="s">
        <v>75</v>
      </c>
      <c r="AA51" s="5"/>
      <c r="AB51" s="5"/>
      <c r="AC51" s="5"/>
      <c r="AD51" s="5"/>
      <c r="AE51" s="5"/>
      <c r="AF51" s="32" t="s">
        <v>54</v>
      </c>
    </row>
    <row r="52" spans="3:34" x14ac:dyDescent="0.25">
      <c r="C52" s="105"/>
      <c r="D52" s="72" t="s">
        <v>65</v>
      </c>
      <c r="E52" s="80">
        <f>SQRT(E72)</f>
        <v>139.41663611631702</v>
      </c>
      <c r="F52" s="80">
        <f>SQRT(F72)</f>
        <v>110.68642625197074</v>
      </c>
      <c r="G52" s="80">
        <f>SQRT(G72)</f>
        <v>191.05800774368109</v>
      </c>
      <c r="H52" s="96"/>
      <c r="I52" s="136">
        <f>SQRT(G52/F52)</f>
        <v>1.3138187018590246</v>
      </c>
      <c r="J52" s="5"/>
      <c r="K52" s="5"/>
      <c r="L52" s="5"/>
      <c r="M52" s="5"/>
      <c r="N52" s="5"/>
      <c r="O52" s="5"/>
      <c r="S52" s="120"/>
      <c r="T52" s="71"/>
      <c r="U52" s="72" t="s">
        <v>79</v>
      </c>
      <c r="V52" s="73">
        <f t="shared" ref="V52:X56" si="18">EXP(V83/100)</f>
        <v>1.4121567048720411</v>
      </c>
      <c r="W52" s="73">
        <f t="shared" si="18"/>
        <v>1.3152122772591233</v>
      </c>
      <c r="X52" s="73">
        <f t="shared" si="18"/>
        <v>1.604726683527679</v>
      </c>
      <c r="Y52" s="71"/>
      <c r="Z52" s="165">
        <f>SQRT(X52/W52)</f>
        <v>1.1045938221545279</v>
      </c>
      <c r="AA52" s="5"/>
      <c r="AB52" s="5"/>
      <c r="AC52" s="5"/>
      <c r="AD52" s="5"/>
      <c r="AE52" s="5"/>
      <c r="AF52" s="41" t="s">
        <v>2</v>
      </c>
      <c r="AG52" s="40">
        <f>EXP(AG48/100)</f>
        <v>394.36747939402557</v>
      </c>
      <c r="AH52" s="133" t="s">
        <v>55</v>
      </c>
    </row>
    <row r="53" spans="3:34" x14ac:dyDescent="0.25">
      <c r="C53" s="114"/>
      <c r="D53" s="75" t="s">
        <v>63</v>
      </c>
      <c r="E53" s="81">
        <f t="shared" ref="E53:G55" si="19">IFERROR(SQRT(E73),-SQRT(-E73))</f>
        <v>133.10938550405407</v>
      </c>
      <c r="F53" s="81">
        <f t="shared" si="19"/>
        <v>90.392841764647116</v>
      </c>
      <c r="G53" s="81">
        <f t="shared" si="19"/>
        <v>165.12223101764715</v>
      </c>
      <c r="H53" s="81">
        <f>(G53-F53)/2</f>
        <v>37.364694626500018</v>
      </c>
      <c r="I53" s="137"/>
      <c r="J53" s="5"/>
      <c r="K53" s="5"/>
      <c r="L53" s="5"/>
      <c r="M53" s="5"/>
      <c r="N53" s="5"/>
      <c r="O53" s="5"/>
      <c r="S53" s="121"/>
      <c r="T53" s="74"/>
      <c r="U53" s="75" t="s">
        <v>82</v>
      </c>
      <c r="V53" s="76">
        <f t="shared" si="18"/>
        <v>1.3937399970432267</v>
      </c>
      <c r="W53" s="76">
        <f t="shared" si="18"/>
        <v>1.2531547923676896</v>
      </c>
      <c r="X53" s="76">
        <f t="shared" si="18"/>
        <v>1.5094081908772039</v>
      </c>
      <c r="Y53" s="74"/>
      <c r="Z53" s="166">
        <f t="shared" ref="Z53:Z56" si="20">SQRT(X53/W53)</f>
        <v>1.0974910607944115</v>
      </c>
      <c r="AA53" s="5"/>
      <c r="AB53" s="5"/>
      <c r="AC53" s="5"/>
      <c r="AD53" s="5"/>
      <c r="AE53" s="5"/>
      <c r="AF53" s="40">
        <f>EXP(AF49/100)</f>
        <v>394.36747939402557</v>
      </c>
      <c r="AG53" s="40">
        <f>EXP(AG49/100)</f>
        <v>394.36747939402699</v>
      </c>
      <c r="AH53" s="132">
        <f>100*EXP(AH49/100)-100</f>
        <v>4.1336017627372428</v>
      </c>
    </row>
    <row r="54" spans="3:34" x14ac:dyDescent="0.25">
      <c r="C54" s="114"/>
      <c r="D54" s="75" t="s">
        <v>69</v>
      </c>
      <c r="E54" s="81">
        <f t="shared" si="19"/>
        <v>45.121891623635015</v>
      </c>
      <c r="F54" s="81">
        <f t="shared" si="19"/>
        <v>32.90951598828353</v>
      </c>
      <c r="G54" s="81">
        <f t="shared" si="19"/>
        <v>74.234426651283243</v>
      </c>
      <c r="H54" s="92"/>
      <c r="I54" s="123">
        <f>SQRT(G54/F54)</f>
        <v>1.5019031625840349</v>
      </c>
      <c r="J54" s="9"/>
      <c r="K54" s="9"/>
      <c r="L54" s="9"/>
      <c r="M54" s="9"/>
      <c r="N54" s="9"/>
      <c r="O54" s="9"/>
      <c r="S54" s="121"/>
      <c r="T54" s="74"/>
      <c r="U54" s="75" t="s">
        <v>81</v>
      </c>
      <c r="V54" s="76">
        <f t="shared" si="18"/>
        <v>1.0413360176273725</v>
      </c>
      <c r="W54" s="76">
        <f t="shared" si="18"/>
        <v>1.0299825400042677</v>
      </c>
      <c r="X54" s="76">
        <f t="shared" si="18"/>
        <v>1.0689083989050225</v>
      </c>
      <c r="Y54" s="74"/>
      <c r="Z54" s="166">
        <f t="shared" si="20"/>
        <v>1.0187211280139026</v>
      </c>
      <c r="AA54" s="9"/>
      <c r="AB54" s="5"/>
      <c r="AC54" s="5"/>
      <c r="AD54" s="5"/>
      <c r="AE54" s="9"/>
      <c r="AF54" s="130" t="s">
        <v>55</v>
      </c>
      <c r="AG54" s="132">
        <f>100*EXP(AG50/100)-100</f>
        <v>39.560327647370485</v>
      </c>
      <c r="AH54" s="132">
        <f>100*EXP(AH50/100)-100</f>
        <v>40.41284558720173</v>
      </c>
    </row>
    <row r="55" spans="3:34" x14ac:dyDescent="0.25">
      <c r="C55" s="114"/>
      <c r="D55" s="75" t="s">
        <v>70</v>
      </c>
      <c r="E55" s="81">
        <f t="shared" si="19"/>
        <v>17.807166730628357</v>
      </c>
      <c r="F55" s="81">
        <f t="shared" si="19"/>
        <v>2.0513243573195705</v>
      </c>
      <c r="G55" s="81">
        <f t="shared" si="19"/>
        <v>25.099451036344647</v>
      </c>
      <c r="H55" s="81">
        <f>(G55-F55)/2</f>
        <v>11.524063339512537</v>
      </c>
      <c r="I55" s="137"/>
      <c r="J55"/>
      <c r="K55"/>
      <c r="L55"/>
      <c r="M55" s="9"/>
      <c r="N55" s="9"/>
      <c r="O55" s="9"/>
      <c r="S55" s="121"/>
      <c r="T55" s="74"/>
      <c r="U55" s="75" t="s">
        <v>83</v>
      </c>
      <c r="V55" s="76">
        <f t="shared" si="18"/>
        <v>1.035190947461144</v>
      </c>
      <c r="W55" s="76">
        <f t="shared" si="18"/>
        <v>0.9911852915296927</v>
      </c>
      <c r="X55" s="76">
        <f t="shared" si="18"/>
        <v>1.0509628301205423</v>
      </c>
      <c r="Y55" s="74"/>
      <c r="Z55" s="166">
        <f t="shared" si="20"/>
        <v>1.0297131377874604</v>
      </c>
      <c r="AA55" s="9"/>
      <c r="AB55" s="5"/>
      <c r="AC55" s="5"/>
      <c r="AD55" s="5"/>
    </row>
    <row r="56" spans="3:34" x14ac:dyDescent="0.25">
      <c r="C56" s="115"/>
      <c r="D56" s="149" t="s">
        <v>61</v>
      </c>
      <c r="E56" s="140">
        <f>SQRT(H67)</f>
        <v>41.45949730426873</v>
      </c>
      <c r="F56" s="140">
        <f>SQRT(H65*E56^2/CHIINV((100-$D$16)/100/2,H65))</f>
        <v>38.097465696981381</v>
      </c>
      <c r="G56" s="140">
        <f>SQRT(H65*E56^2/CHIINV(1-(100-$D$16)/100/2,H65))</f>
        <v>45.534983172725525</v>
      </c>
      <c r="H56" s="141"/>
      <c r="I56" s="142">
        <f>SQRT(G56/F56)</f>
        <v>1.0932627397554471</v>
      </c>
      <c r="J56"/>
      <c r="K56"/>
      <c r="L56"/>
      <c r="S56" s="122"/>
      <c r="T56" s="77"/>
      <c r="U56" s="78" t="s">
        <v>80</v>
      </c>
      <c r="V56" s="79">
        <f t="shared" si="18"/>
        <v>1.098866899313129</v>
      </c>
      <c r="W56" s="79">
        <f t="shared" si="18"/>
        <v>1.0904977505917619</v>
      </c>
      <c r="X56" s="79">
        <f t="shared" si="18"/>
        <v>1.1090982271326291</v>
      </c>
      <c r="Y56" s="77"/>
      <c r="Z56" s="167">
        <f t="shared" si="20"/>
        <v>1.008492373954949</v>
      </c>
      <c r="AA56" s="2"/>
      <c r="AB56" s="5"/>
      <c r="AC56" s="5"/>
      <c r="AD56" s="5"/>
    </row>
    <row r="57" spans="3:34" ht="13.8" thickBot="1" x14ac:dyDescent="0.3">
      <c r="C57" s="116"/>
      <c r="D57" s="150" t="s">
        <v>56</v>
      </c>
      <c r="E57" s="151">
        <f>(E71-1)/(E71+F64-1)</f>
        <v>0.91156608242431558</v>
      </c>
      <c r="F57" s="151">
        <f>(F71-1)/(F71+F64-1)</f>
        <v>0.86143051417156302</v>
      </c>
      <c r="G57" s="151">
        <f>(G71-1)/(G71+F64-1)</f>
        <v>0.9519946804370556</v>
      </c>
      <c r="H57" s="151">
        <f>(G57-F57)/2</f>
        <v>4.5282083132746287E-2</v>
      </c>
      <c r="I57" s="152"/>
      <c r="J57"/>
      <c r="K57"/>
      <c r="L57"/>
      <c r="S57" s="121"/>
      <c r="T57" s="74"/>
      <c r="U57" s="75" t="s">
        <v>119</v>
      </c>
      <c r="V57" s="81">
        <f t="shared" ref="V57:X61" si="21">100*V52-100</f>
        <v>41.215670487204108</v>
      </c>
      <c r="W57" s="81">
        <f t="shared" si="21"/>
        <v>31.521227725912325</v>
      </c>
      <c r="X57" s="81">
        <f t="shared" si="21"/>
        <v>60.472668352767897</v>
      </c>
      <c r="Y57" s="92"/>
      <c r="Z57" s="123">
        <f>SQRT(X57/W57)</f>
        <v>1.3850900320757276</v>
      </c>
      <c r="AA57" s="2"/>
      <c r="AB57" s="5"/>
      <c r="AC57" s="5"/>
      <c r="AD57" s="5"/>
    </row>
    <row r="58" spans="3:34" x14ac:dyDescent="0.25">
      <c r="C58" s="97"/>
      <c r="D58" s="98"/>
      <c r="E58" s="99" t="s">
        <v>59</v>
      </c>
      <c r="F58" s="100">
        <v>2</v>
      </c>
      <c r="G58" s="101" t="s">
        <v>60</v>
      </c>
      <c r="H58" s="284" t="s">
        <v>95</v>
      </c>
      <c r="I58" s="285"/>
      <c r="J58"/>
      <c r="K58"/>
      <c r="L58"/>
      <c r="S58" s="121"/>
      <c r="T58" s="74"/>
      <c r="U58" s="75" t="s">
        <v>120</v>
      </c>
      <c r="V58" s="81">
        <f t="shared" si="21"/>
        <v>39.373999704322671</v>
      </c>
      <c r="W58" s="81">
        <f t="shared" si="21"/>
        <v>25.315479236768951</v>
      </c>
      <c r="X58" s="81">
        <f t="shared" si="21"/>
        <v>50.940819087720399</v>
      </c>
      <c r="Y58" s="81">
        <f>(X58-W58)/2</f>
        <v>12.812669925475724</v>
      </c>
      <c r="Z58" s="124"/>
    </row>
    <row r="59" spans="3:34" x14ac:dyDescent="0.25">
      <c r="C59" s="103"/>
      <c r="D59" s="95"/>
      <c r="E59" s="85"/>
      <c r="F59" s="86" t="s">
        <v>57</v>
      </c>
      <c r="G59" s="86" t="s">
        <v>58</v>
      </c>
      <c r="H59" s="86" t="s">
        <v>74</v>
      </c>
      <c r="I59" s="104" t="s">
        <v>75</v>
      </c>
      <c r="J59"/>
      <c r="K59"/>
      <c r="L59"/>
      <c r="S59" s="121"/>
      <c r="T59" s="74"/>
      <c r="U59" s="75" t="s">
        <v>121</v>
      </c>
      <c r="V59" s="81">
        <f>100*V54-100</f>
        <v>4.1336017627372428</v>
      </c>
      <c r="W59" s="81">
        <f t="shared" si="21"/>
        <v>2.998254000426769</v>
      </c>
      <c r="X59" s="81">
        <f t="shared" si="21"/>
        <v>6.8908398905022494</v>
      </c>
      <c r="Y59" s="92"/>
      <c r="Z59" s="123">
        <f>SQRT(X59/W59)</f>
        <v>1.5160093110740007</v>
      </c>
    </row>
    <row r="60" spans="3:34" x14ac:dyDescent="0.25">
      <c r="C60" s="105"/>
      <c r="D60" s="88" t="s">
        <v>61</v>
      </c>
      <c r="E60" s="96">
        <f>E56/SQRT(F58)</f>
        <v>29.316291688433804</v>
      </c>
      <c r="F60" s="96">
        <f>F56/SQRT(F58)</f>
        <v>26.93897634035741</v>
      </c>
      <c r="G60" s="96">
        <f>G56/SQRT(F58)</f>
        <v>32.198095382649548</v>
      </c>
      <c r="H60" s="139"/>
      <c r="I60" s="136">
        <f>SQRT(G60/F60)</f>
        <v>1.0932627397554471</v>
      </c>
      <c r="J60"/>
      <c r="K60"/>
      <c r="L60"/>
      <c r="S60" s="121"/>
      <c r="T60" s="74"/>
      <c r="U60" s="75" t="s">
        <v>122</v>
      </c>
      <c r="V60" s="81">
        <f t="shared" si="21"/>
        <v>3.5190947461144049</v>
      </c>
      <c r="W60" s="81">
        <f t="shared" si="21"/>
        <v>-0.88147084703072665</v>
      </c>
      <c r="X60" s="81">
        <f t="shared" si="21"/>
        <v>5.0962830120542293</v>
      </c>
      <c r="Y60" s="81">
        <f>(X60-W60)/2</f>
        <v>2.988876929542478</v>
      </c>
      <c r="Z60" s="124"/>
    </row>
    <row r="61" spans="3:34" ht="13.8" thickBot="1" x14ac:dyDescent="0.3">
      <c r="C61" s="106"/>
      <c r="D61" s="107" t="s">
        <v>56</v>
      </c>
      <c r="E61" s="108">
        <f>IF(E71&lt;1,"~0.0",(E71-1)/(E71-1+$F$64/$W$63))</f>
        <v>0.95373745203538596</v>
      </c>
      <c r="F61" s="108">
        <f>IF(F71&lt;1,"?",(F71-1)/(F71-1+$F$64/$W$63))</f>
        <v>0.9255575296668499</v>
      </c>
      <c r="G61" s="108">
        <f>IF(E71&lt;1,"?",(G71-1)/(G71-1+$F$64/$W$63))</f>
        <v>0.97540704385926091</v>
      </c>
      <c r="H61" s="126">
        <f>IF(F71&lt;1,"?",(G61-F61)/2)</f>
        <v>2.4924757096205508E-2</v>
      </c>
      <c r="I61" s="129"/>
      <c r="J61"/>
      <c r="K61"/>
      <c r="L61"/>
      <c r="S61" s="121"/>
      <c r="T61" s="74"/>
      <c r="U61" s="147" t="s">
        <v>123</v>
      </c>
      <c r="V61" s="143">
        <f t="shared" si="21"/>
        <v>9.8866899313129011</v>
      </c>
      <c r="W61" s="143">
        <f t="shared" si="21"/>
        <v>9.0497750591761843</v>
      </c>
      <c r="X61" s="143">
        <f t="shared" si="21"/>
        <v>10.909822713262912</v>
      </c>
      <c r="Y61" s="144"/>
      <c r="Z61" s="145">
        <f>SQRT(X61/W61)</f>
        <v>1.0979686863346787</v>
      </c>
    </row>
    <row r="62" spans="3:34" ht="13.8" thickBot="1" x14ac:dyDescent="0.3">
      <c r="E62" s="38" t="s">
        <v>47</v>
      </c>
      <c r="F62" s="38" t="s">
        <v>48</v>
      </c>
      <c r="I62" s="5"/>
      <c r="J62"/>
      <c r="K62"/>
      <c r="L62"/>
      <c r="S62" s="106"/>
      <c r="T62" s="125"/>
      <c r="U62" s="148" t="s">
        <v>56</v>
      </c>
      <c r="V62" s="146">
        <f>(V77-1)/(V77+W70-1)</f>
        <v>0.92537238512885289</v>
      </c>
      <c r="W62" s="146">
        <f>(W77-1)/(W77+W70-1)</f>
        <v>0.8821620970466304</v>
      </c>
      <c r="X62" s="146">
        <f>(X77-1)/(X77+W70-1)</f>
        <v>0.95973775931372673</v>
      </c>
      <c r="Y62" s="146">
        <f>(X62-W62)/2</f>
        <v>3.8787831133548167E-2</v>
      </c>
      <c r="Z62" s="109"/>
    </row>
    <row r="63" spans="3:34" x14ac:dyDescent="0.25">
      <c r="E63" s="38" t="s">
        <v>49</v>
      </c>
      <c r="F63" s="38" t="s">
        <v>76</v>
      </c>
      <c r="G63" s="2" t="s">
        <v>28</v>
      </c>
      <c r="H63" s="2" t="s">
        <v>29</v>
      </c>
      <c r="I63" s="5"/>
      <c r="J63"/>
      <c r="K63"/>
      <c r="L63"/>
      <c r="S63" s="119"/>
      <c r="T63" s="102"/>
      <c r="U63" s="127"/>
      <c r="V63" s="99" t="s">
        <v>59</v>
      </c>
      <c r="W63" s="100">
        <v>2</v>
      </c>
      <c r="X63" s="101" t="s">
        <v>60</v>
      </c>
      <c r="Y63" s="284" t="s">
        <v>95</v>
      </c>
      <c r="Z63" s="285"/>
    </row>
    <row r="64" spans="3:34" x14ac:dyDescent="0.25">
      <c r="D64" s="1" t="s">
        <v>0</v>
      </c>
      <c r="E64" s="2">
        <f>COUNT(P27:P46)</f>
        <v>20</v>
      </c>
      <c r="F64" s="2">
        <f>COUNT(E49:N49)</f>
        <v>10</v>
      </c>
      <c r="G64" s="2">
        <f>COUNT(E27:N46)</f>
        <v>200</v>
      </c>
      <c r="J64"/>
      <c r="K64"/>
      <c r="L64"/>
      <c r="S64" s="122"/>
      <c r="T64" s="77"/>
      <c r="U64" s="77"/>
      <c r="V64" s="77"/>
      <c r="W64" s="90" t="s">
        <v>57</v>
      </c>
      <c r="X64" s="90" t="s">
        <v>58</v>
      </c>
      <c r="Y64" s="90" t="s">
        <v>74</v>
      </c>
      <c r="Z64" s="128" t="s">
        <v>75</v>
      </c>
    </row>
    <row r="65" spans="1:26" x14ac:dyDescent="0.25">
      <c r="D65" s="1" t="s">
        <v>30</v>
      </c>
      <c r="E65" s="2">
        <f>E64-1</f>
        <v>19</v>
      </c>
      <c r="F65" s="2">
        <f>F64-1</f>
        <v>9</v>
      </c>
      <c r="G65" s="2">
        <f>G64-1</f>
        <v>199</v>
      </c>
      <c r="H65" s="2">
        <f>E65*F65</f>
        <v>171</v>
      </c>
      <c r="I65" s="9"/>
      <c r="J65"/>
      <c r="K65"/>
      <c r="L65"/>
      <c r="S65" s="121"/>
      <c r="T65" s="74"/>
      <c r="U65" s="75" t="s">
        <v>80</v>
      </c>
      <c r="V65" s="89">
        <f>EXP(V88/100)</f>
        <v>1.0689380877662347</v>
      </c>
      <c r="W65" s="89">
        <f>EXP(W88/100)</f>
        <v>1.0631749438038518</v>
      </c>
      <c r="X65" s="89">
        <f>EXP(X88/100)</f>
        <v>1.0759661281704127</v>
      </c>
      <c r="Y65" s="74"/>
      <c r="Z65" s="136">
        <f>SQRT(X65/W65)</f>
        <v>1.005997574099414</v>
      </c>
    </row>
    <row r="66" spans="1:26" x14ac:dyDescent="0.25">
      <c r="D66" s="1" t="s">
        <v>27</v>
      </c>
      <c r="E66" s="2">
        <f>P50^2*E65*F64</f>
        <v>3399099.5251784381</v>
      </c>
      <c r="F66" s="2">
        <f>Q49^2*F65*E64</f>
        <v>72547.14290553554</v>
      </c>
      <c r="G66" s="2">
        <f>Q50^2*G65</f>
        <v>3765576.8438435495</v>
      </c>
      <c r="H66" s="2">
        <f>G66-E66-F66</f>
        <v>293930.17575957591</v>
      </c>
      <c r="I66"/>
      <c r="S66" s="121"/>
      <c r="T66" s="74"/>
      <c r="U66" s="83" t="s">
        <v>123</v>
      </c>
      <c r="V66" s="84">
        <f>100*V65-100</f>
        <v>6.893808776623473</v>
      </c>
      <c r="W66" s="84">
        <f t="shared" ref="W66:X66" si="22">100*W65-100</f>
        <v>6.3174943803851846</v>
      </c>
      <c r="X66" s="84">
        <f t="shared" si="22"/>
        <v>7.5966128170412759</v>
      </c>
      <c r="Y66" s="92"/>
      <c r="Z66" s="123">
        <f>SQRT(X66/W66)</f>
        <v>1.0965730389149702</v>
      </c>
    </row>
    <row r="67" spans="1:26" ht="13.8" thickBot="1" x14ac:dyDescent="0.3">
      <c r="D67" s="39" t="s">
        <v>50</v>
      </c>
      <c r="E67" s="69">
        <f>P50^2-H67/F64</f>
        <v>17718.108509266884</v>
      </c>
      <c r="F67" s="69">
        <f>Q49^2-H67/E64</f>
        <v>317.09518697239741</v>
      </c>
      <c r="G67" s="69"/>
      <c r="H67" s="69">
        <f>H66/H65</f>
        <v>1718.8899167226662</v>
      </c>
      <c r="I67"/>
      <c r="S67" s="106"/>
      <c r="T67" s="125"/>
      <c r="U67" s="107" t="s">
        <v>56</v>
      </c>
      <c r="V67" s="108">
        <f>IF(V77&lt;1,"~0.0",(V77-1)/(V77-1+$W$70/$W$63))</f>
        <v>0.96123990587610264</v>
      </c>
      <c r="W67" s="108">
        <f>IF(W77&lt;1,"?",(W77-1)/(W77-1+$W$70/$W$63))</f>
        <v>0.93739226651186236</v>
      </c>
      <c r="X67" s="108">
        <f>IF(V77&lt;1,"?",(X77-1)/(X77-1+$W$70/$W$63))</f>
        <v>0.97945529166087375</v>
      </c>
      <c r="Y67" s="126">
        <f>IF(W77&lt;1,"?",(X67-W67)/2)</f>
        <v>2.1031512574505695E-2</v>
      </c>
      <c r="Z67" s="129"/>
    </row>
    <row r="68" spans="1:26" x14ac:dyDescent="0.25">
      <c r="D68" s="31" t="s">
        <v>51</v>
      </c>
      <c r="E68" s="2">
        <f>2*P50^4/(E64-1)+1/F64^2*2*H67^2/H65</f>
        <v>33690030.889800459</v>
      </c>
      <c r="F68" s="2">
        <f>2*Q49^4/(F64-1)+1/E64^2*2*H67^2/H65</f>
        <v>36184.388173264881</v>
      </c>
      <c r="G68" s="6"/>
      <c r="H68" s="2">
        <f>2*H67^2/H65</f>
        <v>34556.521003635717</v>
      </c>
      <c r="I68"/>
      <c r="V68" s="38" t="s">
        <v>47</v>
      </c>
      <c r="W68" s="38" t="s">
        <v>48</v>
      </c>
      <c r="X68" s="5"/>
      <c r="Y68" s="5"/>
      <c r="Z68" s="5"/>
    </row>
    <row r="69" spans="1:26" x14ac:dyDescent="0.25">
      <c r="D69" s="39" t="s">
        <v>52</v>
      </c>
      <c r="E69" s="69">
        <f>SQRT(E68)</f>
        <v>5804.3114053090276</v>
      </c>
      <c r="F69" s="69">
        <f>SQRT(F68)</f>
        <v>190.22194451026118</v>
      </c>
      <c r="G69" s="69"/>
      <c r="H69" s="69">
        <f>SQRT(H68)</f>
        <v>185.89384337205931</v>
      </c>
      <c r="I69"/>
      <c r="U69"/>
      <c r="V69" s="38" t="s">
        <v>49</v>
      </c>
      <c r="W69" s="38" t="s">
        <v>76</v>
      </c>
      <c r="X69" s="2" t="s">
        <v>28</v>
      </c>
      <c r="Y69" s="2" t="s">
        <v>29</v>
      </c>
      <c r="Z69" s="5"/>
    </row>
    <row r="70" spans="1:26" x14ac:dyDescent="0.25">
      <c r="D70" s="2"/>
      <c r="F70" s="44" t="s">
        <v>57</v>
      </c>
      <c r="G70" s="44" t="s">
        <v>58</v>
      </c>
      <c r="I70"/>
      <c r="U70" s="1" t="s">
        <v>0</v>
      </c>
      <c r="V70" s="2">
        <f>COUNT(AG27:AG46)</f>
        <v>20</v>
      </c>
      <c r="W70" s="2">
        <f>COUNT(V49:AE49)</f>
        <v>10</v>
      </c>
      <c r="X70" s="2">
        <f>COUNT(V27:AE46)</f>
        <v>200</v>
      </c>
      <c r="Z70" s="5"/>
    </row>
    <row r="71" spans="1:26" x14ac:dyDescent="0.25">
      <c r="D71" s="45" t="s">
        <v>66</v>
      </c>
      <c r="E71" s="5">
        <f>E66/E65/(H66/H65)</f>
        <v>104.07878553996778</v>
      </c>
      <c r="F71" s="67">
        <f>E71/FINV((1-$D$16/100)/2,E65,H65)</f>
        <v>63.165960205560751</v>
      </c>
      <c r="G71" s="67">
        <f>E71*FINV((1-$D$16/100)/2,H65,E65)</f>
        <v>199.3102475109666</v>
      </c>
      <c r="I71"/>
      <c r="U71" s="1" t="s">
        <v>30</v>
      </c>
      <c r="V71" s="2">
        <f>V70-1</f>
        <v>19</v>
      </c>
      <c r="W71" s="2">
        <f>W70-1</f>
        <v>9</v>
      </c>
      <c r="X71" s="2">
        <f>X70-1</f>
        <v>199</v>
      </c>
      <c r="Y71" s="2">
        <f>V71*W71</f>
        <v>171</v>
      </c>
      <c r="Z71" s="9"/>
    </row>
    <row r="72" spans="1:26" x14ac:dyDescent="0.25">
      <c r="D72" s="31" t="s">
        <v>71</v>
      </c>
      <c r="E72" s="6">
        <f>E67+H67</f>
        <v>19436.99842598955</v>
      </c>
      <c r="F72" s="60">
        <f>E65*E72/CHIINV((100-$D$16)/100/2,E65)</f>
        <v>12251.484956432958</v>
      </c>
      <c r="G72" s="60">
        <f>E65*E72/CHIINV(1-(100-$D$16)/100/2,E65)</f>
        <v>36503.162322984499</v>
      </c>
      <c r="I72"/>
      <c r="U72" s="1" t="s">
        <v>27</v>
      </c>
      <c r="V72" s="2">
        <f>AG50^2*V71*W70</f>
        <v>211102.80782706081</v>
      </c>
      <c r="W72" s="2">
        <f>AH49^2*W71*V70</f>
        <v>2953.109206343192</v>
      </c>
      <c r="X72" s="2">
        <f>AH50^2*X71</f>
        <v>229255.48277457265</v>
      </c>
      <c r="Y72" s="2">
        <f>X72-V72-W72</f>
        <v>15199.56574116865</v>
      </c>
      <c r="Z72" s="9"/>
    </row>
    <row r="73" spans="1:26" x14ac:dyDescent="0.25">
      <c r="D73" s="31" t="s">
        <v>62</v>
      </c>
      <c r="E73" s="6">
        <f>E67</f>
        <v>17718.108509266884</v>
      </c>
      <c r="F73" s="60">
        <f>E67+NORMSINV((100-$D$16)/100/2)*E69</f>
        <v>8170.865842288531</v>
      </c>
      <c r="G73" s="60">
        <f>E67-NORMSINV((100-$D$16)/100/2)*E69</f>
        <v>27265.351176245236</v>
      </c>
      <c r="I73"/>
      <c r="U73" s="222" t="s">
        <v>50</v>
      </c>
      <c r="V73" s="223">
        <f>AG50^2-Y73/W70</f>
        <v>1102.1787746797538</v>
      </c>
      <c r="W73" s="223">
        <f>AH49^2-Y73/V70</f>
        <v>11.961844789284211</v>
      </c>
      <c r="X73" s="223"/>
      <c r="Y73" s="223">
        <f>Y72/Y71</f>
        <v>88.886349363559361</v>
      </c>
      <c r="Z73" s="225" t="s">
        <v>131</v>
      </c>
    </row>
    <row r="74" spans="1:26" x14ac:dyDescent="0.25">
      <c r="D74" s="31" t="s">
        <v>72</v>
      </c>
      <c r="E74" s="6">
        <f>F67+H67</f>
        <v>2035.9851036950636</v>
      </c>
      <c r="F74" s="60">
        <f>F65*E74/CHIINV((100-$D$16)/100/2,F65)</f>
        <v>1083.0362425830895</v>
      </c>
      <c r="G74" s="60">
        <f>F65*E74/CHIINV(1-(100-$D$16)/100/2,F65)</f>
        <v>5510.7501002447525</v>
      </c>
      <c r="I74"/>
      <c r="U74" s="31" t="s">
        <v>51</v>
      </c>
      <c r="V74" s="6">
        <f>2*AG50^4/(V70-1)+1/W70^2*2*Y73^2/Y71</f>
        <v>129945.217616731</v>
      </c>
      <c r="W74" s="5">
        <f>2*AH49^4/(W70-1)+1/V70^2*2*Y73^2/Y71</f>
        <v>60.04483038717315</v>
      </c>
      <c r="X74" s="5"/>
      <c r="Y74" s="5">
        <f>2*Y73^2/Y71</f>
        <v>92.406819920242455</v>
      </c>
      <c r="Z74" s="225"/>
    </row>
    <row r="75" spans="1:26" x14ac:dyDescent="0.25">
      <c r="A75" s="2"/>
      <c r="B75" s="2"/>
      <c r="D75" s="31" t="s">
        <v>68</v>
      </c>
      <c r="E75" s="6">
        <f>F67</f>
        <v>317.09518697239741</v>
      </c>
      <c r="F75" s="60">
        <f>F67+NORMSINV((100-$D$16)/100/2)*F69</f>
        <v>4.2079316189325482</v>
      </c>
      <c r="G75" s="60">
        <f>F67-NORMSINV((100-$D$16)/100/2)*F69</f>
        <v>629.98244232586228</v>
      </c>
      <c r="I75"/>
      <c r="U75" s="222" t="s">
        <v>52</v>
      </c>
      <c r="V75" s="223">
        <f>SQRT(V74)</f>
        <v>360.47915004439716</v>
      </c>
      <c r="W75" s="223">
        <f>SQRT(W74)</f>
        <v>7.7488599411250911</v>
      </c>
      <c r="X75" s="223"/>
      <c r="Y75" s="223">
        <f>SQRT(Y74)</f>
        <v>9.6128466085880326</v>
      </c>
      <c r="Z75" s="225" t="s">
        <v>132</v>
      </c>
    </row>
    <row r="76" spans="1:26" x14ac:dyDescent="0.25">
      <c r="A76" s="2"/>
      <c r="B76" s="2"/>
      <c r="C76" s="2"/>
      <c r="D76" s="2"/>
      <c r="W76" s="44" t="s">
        <v>57</v>
      </c>
      <c r="X76" s="44" t="s">
        <v>58</v>
      </c>
    </row>
    <row r="77" spans="1:26" x14ac:dyDescent="0.25">
      <c r="A77" s="2"/>
      <c r="B77" s="2"/>
      <c r="C77" s="2"/>
      <c r="D77" s="2"/>
      <c r="U77" s="45" t="s">
        <v>66</v>
      </c>
      <c r="V77" s="5">
        <f>V72/V71/(Y72/Y71)</f>
        <v>124.99865475087367</v>
      </c>
      <c r="W77" s="67">
        <f>V77/FINV((1-$D$16/100)/2,V71,Y71)</f>
        <v>75.862338427366296</v>
      </c>
      <c r="X77" s="67">
        <f>V77*FINV((1-$D$16/100)/2,Y71,V71)</f>
        <v>239.37167106323832</v>
      </c>
    </row>
    <row r="78" spans="1:26" x14ac:dyDescent="0.25">
      <c r="A78" s="2"/>
      <c r="B78" s="2"/>
      <c r="C78" s="2"/>
      <c r="D78" s="2"/>
      <c r="U78" s="31" t="s">
        <v>64</v>
      </c>
      <c r="V78" s="5">
        <f>V73+Y73</f>
        <v>1191.0651240433131</v>
      </c>
      <c r="W78" s="60">
        <f>V71*V78/CHIINV((100-$D$16)/100/2,V71)</f>
        <v>750.74947939682727</v>
      </c>
      <c r="X78" s="44">
        <f>V71*V78/CHIINV(1-(100-$D$16)/100/2,V71)</f>
        <v>2236.8496723271846</v>
      </c>
    </row>
    <row r="79" spans="1:26" x14ac:dyDescent="0.25">
      <c r="A79" s="2"/>
      <c r="B79" s="2"/>
      <c r="C79" s="2"/>
      <c r="D79" s="2"/>
      <c r="U79" s="31" t="s">
        <v>62</v>
      </c>
      <c r="V79" s="6">
        <f>V73</f>
        <v>1102.1787746797538</v>
      </c>
      <c r="W79" s="60">
        <f>V73+NORMSINV((100-$D$16)/100/2)*V75</f>
        <v>509.24333728884301</v>
      </c>
      <c r="X79" s="60">
        <f>V73-NORMSINV((100-$D$16)/100/2)*V75</f>
        <v>1695.1142120706645</v>
      </c>
    </row>
    <row r="80" spans="1:26" x14ac:dyDescent="0.25">
      <c r="A80" s="2"/>
      <c r="B80" s="2"/>
      <c r="C80" s="2"/>
      <c r="D80" s="2"/>
      <c r="U80" s="31" t="s">
        <v>67</v>
      </c>
      <c r="V80" s="6">
        <f>W73+Y73/V70</f>
        <v>16.406162257462178</v>
      </c>
      <c r="W80" s="60">
        <f>W71*V80/CHIINV((100-$D$16)/100/2,W71)</f>
        <v>8.7272093957282593</v>
      </c>
      <c r="X80" s="60">
        <f>W71*V80/CHIINV(1-(100-$D$16)/100/2,W71)</f>
        <v>44.406150192777844</v>
      </c>
    </row>
    <row r="81" spans="1:34" x14ac:dyDescent="0.25">
      <c r="A81" s="2"/>
      <c r="B81" s="2"/>
      <c r="C81" s="2"/>
      <c r="D81" s="2"/>
      <c r="U81" s="31" t="s">
        <v>68</v>
      </c>
      <c r="V81" s="5">
        <f>W73</f>
        <v>11.961844789284211</v>
      </c>
      <c r="W81" s="65">
        <f>W73+NORMSINV((100-$D$16)/100/2)*W75</f>
        <v>-0.78389558961437089</v>
      </c>
      <c r="X81" s="65">
        <f>W73-NORMSINV((100-$D$16)/100/2)*W75</f>
        <v>24.707585168182792</v>
      </c>
    </row>
    <row r="82" spans="1:34" x14ac:dyDescent="0.25">
      <c r="U82" s="31"/>
      <c r="V82" s="5"/>
      <c r="W82" s="44" t="s">
        <v>57</v>
      </c>
      <c r="X82" s="44" t="s">
        <v>58</v>
      </c>
    </row>
    <row r="83" spans="1:34" x14ac:dyDescent="0.25">
      <c r="A83" s="2"/>
      <c r="B83" s="2"/>
      <c r="C83" s="2"/>
      <c r="D83" s="2"/>
      <c r="U83" s="31" t="s">
        <v>65</v>
      </c>
      <c r="V83" s="5">
        <f>SQRT(V78)</f>
        <v>34.511811370070291</v>
      </c>
      <c r="W83" s="5">
        <f>SQRT(W78)</f>
        <v>27.399808017517699</v>
      </c>
      <c r="X83" s="5">
        <f>SQRT(X78)</f>
        <v>47.295345144392222</v>
      </c>
      <c r="Y83" s="65"/>
    </row>
    <row r="84" spans="1:34" x14ac:dyDescent="0.25">
      <c r="A84" s="2"/>
      <c r="B84" s="2"/>
      <c r="C84" s="2"/>
      <c r="D84" s="2"/>
      <c r="U84" s="31" t="s">
        <v>63</v>
      </c>
      <c r="V84" s="67">
        <f t="shared" ref="V84:X86" si="23">IFERROR(SQRT(V79),-SQRT(-V79))</f>
        <v>33.19907791911929</v>
      </c>
      <c r="W84" s="67">
        <f t="shared" si="23"/>
        <v>22.56642056881957</v>
      </c>
      <c r="X84" s="67">
        <f t="shared" si="23"/>
        <v>41.171764743215277</v>
      </c>
    </row>
    <row r="85" spans="1:34" x14ac:dyDescent="0.25">
      <c r="D85" s="44"/>
      <c r="U85" s="31" t="s">
        <v>69</v>
      </c>
      <c r="V85" s="67">
        <f t="shared" si="23"/>
        <v>4.0504521053164151</v>
      </c>
      <c r="W85" s="67">
        <f t="shared" si="23"/>
        <v>2.954185064569967</v>
      </c>
      <c r="X85" s="67">
        <f t="shared" si="23"/>
        <v>6.6637939788665319</v>
      </c>
    </row>
    <row r="86" spans="1:34" x14ac:dyDescent="0.25">
      <c r="U86" s="31" t="s">
        <v>70</v>
      </c>
      <c r="V86" s="67">
        <f t="shared" si="23"/>
        <v>3.4585900001711987</v>
      </c>
      <c r="W86" s="67">
        <f t="shared" si="23"/>
        <v>-0.88537878312865104</v>
      </c>
      <c r="X86" s="67">
        <f t="shared" si="23"/>
        <v>4.9706725066315514</v>
      </c>
    </row>
    <row r="87" spans="1:34" x14ac:dyDescent="0.25">
      <c r="U87" s="45" t="s">
        <v>61</v>
      </c>
      <c r="V87" s="65">
        <f>SQRT(Y73)</f>
        <v>9.4279557361900768</v>
      </c>
      <c r="W87" s="65">
        <f>SQRT(Y71*V87^2/CHIINV((100-$D$16)/100/2,Y71))</f>
        <v>8.6634243926343615</v>
      </c>
      <c r="X87" s="65">
        <f>SQRT(Y71*V87^2/CHIINV(1-(100-$D$16)/100/2,Y71))</f>
        <v>10.354727715340985</v>
      </c>
    </row>
    <row r="88" spans="1:34" x14ac:dyDescent="0.25">
      <c r="U88" s="45" t="str">
        <f>"Error for mean of "&amp;W63&amp;" full trials"</f>
        <v>Error for mean of 2 full trials</v>
      </c>
      <c r="V88" s="65">
        <f>V87/SQRT(W63)</f>
        <v>6.6665714337866113</v>
      </c>
      <c r="W88" s="65">
        <f>W87/SQRT(W63)</f>
        <v>6.125966136328703</v>
      </c>
      <c r="X88" s="65">
        <f>X87/SQRT(W63)</f>
        <v>7.321898184857897</v>
      </c>
      <c r="Z88" s="32" t="s">
        <v>147</v>
      </c>
    </row>
    <row r="89" spans="1:34" ht="13.8" thickBot="1" x14ac:dyDescent="0.3">
      <c r="Z89" s="286" t="s">
        <v>145</v>
      </c>
      <c r="AA89" s="286"/>
      <c r="AB89" s="286"/>
      <c r="AC89" s="286"/>
      <c r="AD89" s="286"/>
      <c r="AE89" s="286"/>
      <c r="AF89" s="286"/>
      <c r="AG89" s="286"/>
      <c r="AH89" s="241"/>
    </row>
    <row r="90" spans="1:34" ht="13.8" thickTop="1" x14ac:dyDescent="0.25">
      <c r="Z90" s="287" t="s">
        <v>133</v>
      </c>
      <c r="AA90" s="288"/>
      <c r="AB90" s="291" t="s">
        <v>134</v>
      </c>
      <c r="AC90" s="293" t="s">
        <v>135</v>
      </c>
      <c r="AD90" s="293" t="s">
        <v>136</v>
      </c>
      <c r="AE90" s="293" t="s">
        <v>137</v>
      </c>
      <c r="AF90" s="293" t="s">
        <v>138</v>
      </c>
      <c r="AG90" s="295"/>
      <c r="AH90" s="241"/>
    </row>
    <row r="91" spans="1:34" ht="13.8" thickBot="1" x14ac:dyDescent="0.3">
      <c r="Z91" s="289"/>
      <c r="AA91" s="290"/>
      <c r="AB91" s="292"/>
      <c r="AC91" s="294"/>
      <c r="AD91" s="294"/>
      <c r="AE91" s="294"/>
      <c r="AF91" s="242" t="s">
        <v>139</v>
      </c>
      <c r="AG91" s="243" t="s">
        <v>140</v>
      </c>
      <c r="AH91" s="241"/>
    </row>
    <row r="92" spans="1:34" ht="13.8" thickTop="1" x14ac:dyDescent="0.25">
      <c r="Z92" s="281" t="s">
        <v>141</v>
      </c>
      <c r="AA92" s="282"/>
      <c r="AB92" s="244">
        <v>88.886349363849419</v>
      </c>
      <c r="AC92" s="245">
        <v>9.6128466086076596</v>
      </c>
      <c r="AD92" s="246">
        <v>9.2466210044647603</v>
      </c>
      <c r="AE92" s="247">
        <v>2.3170160187363214E-20</v>
      </c>
      <c r="AF92" s="245">
        <v>74.401163859509822</v>
      </c>
      <c r="AG92" s="248">
        <v>106.19166009487675</v>
      </c>
      <c r="AH92" s="241"/>
    </row>
    <row r="93" spans="1:34" ht="25.2" x14ac:dyDescent="0.25">
      <c r="Z93" s="249" t="s">
        <v>142</v>
      </c>
      <c r="AA93" s="250" t="s">
        <v>143</v>
      </c>
      <c r="AB93" s="251">
        <v>1102.1787746798209</v>
      </c>
      <c r="AC93" s="252">
        <v>360.479150044356</v>
      </c>
      <c r="AD93" s="253">
        <v>3.0575382086431371</v>
      </c>
      <c r="AE93" s="254">
        <v>2.2316318910816464E-3</v>
      </c>
      <c r="AF93" s="252">
        <v>643.60008106946736</v>
      </c>
      <c r="AG93" s="255">
        <v>1887.504503318406</v>
      </c>
      <c r="AH93" s="241"/>
    </row>
    <row r="94" spans="1:34" ht="25.8" thickBot="1" x14ac:dyDescent="0.3">
      <c r="Z94" s="256" t="s">
        <v>146</v>
      </c>
      <c r="AA94" s="257" t="s">
        <v>143</v>
      </c>
      <c r="AB94" s="258">
        <v>11.961844789269501</v>
      </c>
      <c r="AC94" s="259">
        <v>7.7488599411355343</v>
      </c>
      <c r="AD94" s="260">
        <v>1.5436909274574637</v>
      </c>
      <c r="AE94" s="261">
        <v>0.12266322523405832</v>
      </c>
      <c r="AF94" s="259">
        <v>4.1213838049759337</v>
      </c>
      <c r="AG94" s="262">
        <v>34.717885432028929</v>
      </c>
      <c r="AH94" s="241"/>
    </row>
    <row r="95" spans="1:34" ht="13.8" thickTop="1" x14ac:dyDescent="0.25">
      <c r="Z95" s="283" t="s">
        <v>144</v>
      </c>
      <c r="AA95" s="283"/>
      <c r="AB95" s="283"/>
      <c r="AC95" s="283"/>
      <c r="AD95" s="283"/>
      <c r="AE95" s="283"/>
      <c r="AF95" s="283"/>
      <c r="AG95" s="283"/>
      <c r="AH95" s="241"/>
    </row>
  </sheetData>
  <mergeCells count="11">
    <mergeCell ref="Z92:AA92"/>
    <mergeCell ref="Z95:AG95"/>
    <mergeCell ref="H58:I58"/>
    <mergeCell ref="Y63:Z63"/>
    <mergeCell ref="Z89:AG89"/>
    <mergeCell ref="Z90:AA91"/>
    <mergeCell ref="AB90:AB91"/>
    <mergeCell ref="AC90:AC91"/>
    <mergeCell ref="AD90:AD91"/>
    <mergeCell ref="AE90:AE91"/>
    <mergeCell ref="AF90:AG90"/>
  </mergeCells>
  <phoneticPr fontId="2" type="noConversion"/>
  <pageMargins left="0.75" right="0.75" top="1" bottom="1" header="0.5" footer="0.5"/>
  <pageSetup paperSize="9" orientation="portrait" horizontalDpi="1200"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1"/>
  <sheetViews>
    <sheetView zoomScale="85" zoomScaleNormal="85" workbookViewId="0"/>
  </sheetViews>
  <sheetFormatPr defaultRowHeight="13.2" x14ac:dyDescent="0.25"/>
  <cols>
    <col min="1" max="1" width="8.88671875" style="7"/>
    <col min="2" max="3" width="8.88671875" style="2"/>
    <col min="4" max="4" width="11.6640625" style="2" customWidth="1"/>
    <col min="5" max="5" width="10.21875" style="2" customWidth="1"/>
  </cols>
  <sheetData>
    <row r="1" spans="1:5" x14ac:dyDescent="0.25">
      <c r="A1" s="26" t="s">
        <v>31</v>
      </c>
      <c r="B1" s="27" t="s">
        <v>32</v>
      </c>
      <c r="C1" s="27" t="s">
        <v>45</v>
      </c>
      <c r="D1" s="27" t="s">
        <v>46</v>
      </c>
      <c r="E1" s="27" t="s">
        <v>33</v>
      </c>
    </row>
    <row r="2" spans="1:5" x14ac:dyDescent="0.25">
      <c r="A2" s="25" t="s">
        <v>4</v>
      </c>
      <c r="B2" s="6">
        <v>812.66894479840244</v>
      </c>
      <c r="C2" s="2" t="s">
        <v>35</v>
      </c>
      <c r="D2" s="2" t="s">
        <v>114</v>
      </c>
      <c r="E2" s="6">
        <v>670.03238246485898</v>
      </c>
    </row>
    <row r="3" spans="1:5" x14ac:dyDescent="0.25">
      <c r="A3" s="25" t="s">
        <v>5</v>
      </c>
      <c r="B3" s="6">
        <v>190.23584740022159</v>
      </c>
      <c r="C3" s="2" t="s">
        <v>35</v>
      </c>
      <c r="D3" s="2" t="s">
        <v>114</v>
      </c>
      <c r="E3" s="6">
        <v>524.82646044884086</v>
      </c>
    </row>
    <row r="4" spans="1:5" x14ac:dyDescent="0.25">
      <c r="A4" s="25" t="s">
        <v>6</v>
      </c>
      <c r="B4" s="6">
        <v>563.84982085276806</v>
      </c>
      <c r="C4" s="2" t="s">
        <v>35</v>
      </c>
      <c r="D4" s="2" t="s">
        <v>114</v>
      </c>
      <c r="E4" s="6">
        <v>633.478794095681</v>
      </c>
    </row>
    <row r="5" spans="1:5" x14ac:dyDescent="0.25">
      <c r="A5" s="25" t="s">
        <v>7</v>
      </c>
      <c r="B5" s="6">
        <v>626.73793885515659</v>
      </c>
      <c r="C5" s="2" t="s">
        <v>35</v>
      </c>
      <c r="D5" s="2" t="s">
        <v>114</v>
      </c>
      <c r="E5" s="6">
        <v>644.05284929045422</v>
      </c>
    </row>
    <row r="6" spans="1:5" x14ac:dyDescent="0.25">
      <c r="A6" s="25" t="s">
        <v>8</v>
      </c>
      <c r="B6" s="6">
        <v>380.04579307099067</v>
      </c>
      <c r="C6" s="2" t="s">
        <v>35</v>
      </c>
      <c r="D6" s="2" t="s">
        <v>114</v>
      </c>
      <c r="E6" s="6">
        <v>594.02917535414701</v>
      </c>
    </row>
    <row r="7" spans="1:5" x14ac:dyDescent="0.25">
      <c r="A7" s="25" t="s">
        <v>9</v>
      </c>
      <c r="B7" s="6">
        <v>695.99480877335236</v>
      </c>
      <c r="C7" s="2" t="s">
        <v>35</v>
      </c>
      <c r="D7" s="2" t="s">
        <v>114</v>
      </c>
      <c r="E7" s="6">
        <v>654.5342201647627</v>
      </c>
    </row>
    <row r="8" spans="1:5" x14ac:dyDescent="0.25">
      <c r="A8" s="25" t="s">
        <v>10</v>
      </c>
      <c r="B8" s="6">
        <v>290.89893562071086</v>
      </c>
      <c r="C8" s="2" t="s">
        <v>35</v>
      </c>
      <c r="D8" s="2" t="s">
        <v>114</v>
      </c>
      <c r="E8" s="6">
        <v>567.29759065763142</v>
      </c>
    </row>
    <row r="9" spans="1:5" x14ac:dyDescent="0.25">
      <c r="A9" s="25" t="s">
        <v>11</v>
      </c>
      <c r="B9" s="6">
        <v>366.80955436007827</v>
      </c>
      <c r="C9" s="2" t="s">
        <v>35</v>
      </c>
      <c r="D9" s="2" t="s">
        <v>114</v>
      </c>
      <c r="E9" s="6">
        <v>590.48427879167832</v>
      </c>
    </row>
    <row r="10" spans="1:5" x14ac:dyDescent="0.25">
      <c r="A10" s="25" t="s">
        <v>12</v>
      </c>
      <c r="B10" s="6">
        <v>435.75907881679689</v>
      </c>
      <c r="C10" s="2" t="s">
        <v>35</v>
      </c>
      <c r="D10" s="2" t="s">
        <v>114</v>
      </c>
      <c r="E10" s="6">
        <v>607.70895191040199</v>
      </c>
    </row>
    <row r="11" spans="1:5" x14ac:dyDescent="0.25">
      <c r="A11" s="25" t="s">
        <v>13</v>
      </c>
      <c r="B11" s="6">
        <v>648.09234472850108</v>
      </c>
      <c r="C11" s="2" t="s">
        <v>35</v>
      </c>
      <c r="D11" s="2" t="s">
        <v>114</v>
      </c>
      <c r="E11" s="6">
        <v>647.40331934961443</v>
      </c>
    </row>
    <row r="12" spans="1:5" x14ac:dyDescent="0.25">
      <c r="A12" s="25" t="s">
        <v>14</v>
      </c>
      <c r="B12" s="6">
        <v>509.88659187329466</v>
      </c>
      <c r="C12" s="2" t="s">
        <v>35</v>
      </c>
      <c r="D12" s="2" t="s">
        <v>114</v>
      </c>
      <c r="E12" s="6">
        <v>623.41883321148543</v>
      </c>
    </row>
    <row r="13" spans="1:5" x14ac:dyDescent="0.25">
      <c r="A13" s="25" t="s">
        <v>15</v>
      </c>
      <c r="B13" s="6">
        <v>249.32485595106789</v>
      </c>
      <c r="C13" s="2" t="s">
        <v>35</v>
      </c>
      <c r="D13" s="2" t="s">
        <v>114</v>
      </c>
      <c r="E13" s="6">
        <v>551.87566885320962</v>
      </c>
    </row>
    <row r="14" spans="1:5" x14ac:dyDescent="0.25">
      <c r="A14" s="25" t="s">
        <v>16</v>
      </c>
      <c r="B14" s="6">
        <v>335.52584324736887</v>
      </c>
      <c r="C14" s="2" t="s">
        <v>35</v>
      </c>
      <c r="D14" s="2" t="s">
        <v>114</v>
      </c>
      <c r="E14" s="6">
        <v>581.56989824984123</v>
      </c>
    </row>
    <row r="15" spans="1:5" x14ac:dyDescent="0.25">
      <c r="A15" s="25" t="s">
        <v>17</v>
      </c>
      <c r="B15" s="6">
        <v>479.66446386426537</v>
      </c>
      <c r="C15" s="2" t="s">
        <v>35</v>
      </c>
      <c r="D15" s="2" t="s">
        <v>114</v>
      </c>
      <c r="E15" s="6">
        <v>617.3086825847904</v>
      </c>
    </row>
    <row r="16" spans="1:5" x14ac:dyDescent="0.25">
      <c r="A16" s="25" t="s">
        <v>18</v>
      </c>
      <c r="B16" s="6">
        <v>357.54110781674973</v>
      </c>
      <c r="C16" s="2" t="s">
        <v>35</v>
      </c>
      <c r="D16" s="2" t="s">
        <v>114</v>
      </c>
      <c r="E16" s="6">
        <v>587.92503424235747</v>
      </c>
    </row>
    <row r="17" spans="1:6" x14ac:dyDescent="0.25">
      <c r="A17" s="25" t="s">
        <v>19</v>
      </c>
      <c r="B17" s="6">
        <v>775.36620712495733</v>
      </c>
      <c r="C17" s="2" t="s">
        <v>35</v>
      </c>
      <c r="D17" s="2" t="s">
        <v>114</v>
      </c>
      <c r="E17" s="6">
        <v>665.3335443070938</v>
      </c>
    </row>
    <row r="18" spans="1:6" x14ac:dyDescent="0.25">
      <c r="A18" s="25" t="s">
        <v>20</v>
      </c>
      <c r="B18" s="6">
        <v>208.29532521626069</v>
      </c>
      <c r="C18" s="2" t="s">
        <v>35</v>
      </c>
      <c r="D18" s="2" t="s">
        <v>114</v>
      </c>
      <c r="E18" s="6">
        <v>533.89569054623314</v>
      </c>
    </row>
    <row r="19" spans="1:6" x14ac:dyDescent="0.25">
      <c r="A19" s="25" t="s">
        <v>22</v>
      </c>
      <c r="B19" s="6">
        <v>399.48995067433083</v>
      </c>
      <c r="C19" s="2" t="s">
        <v>35</v>
      </c>
      <c r="D19" s="2" t="s">
        <v>114</v>
      </c>
      <c r="E19" s="6">
        <v>599.01886101323237</v>
      </c>
    </row>
    <row r="20" spans="1:6" x14ac:dyDescent="0.25">
      <c r="A20" s="25" t="s">
        <v>21</v>
      </c>
      <c r="B20" s="6">
        <v>261.44126362856531</v>
      </c>
      <c r="C20" s="2" t="s">
        <v>35</v>
      </c>
      <c r="D20" s="2" t="s">
        <v>114</v>
      </c>
      <c r="E20" s="6">
        <v>556.62096450005527</v>
      </c>
    </row>
    <row r="21" spans="1:6" x14ac:dyDescent="0.25">
      <c r="A21" s="25" t="s">
        <v>23</v>
      </c>
      <c r="B21" s="6">
        <v>543.78940592632011</v>
      </c>
      <c r="C21" s="2" t="s">
        <v>35</v>
      </c>
      <c r="D21" s="2" t="s">
        <v>114</v>
      </c>
      <c r="E21" s="6">
        <v>629.85620504461167</v>
      </c>
    </row>
    <row r="22" spans="1:6" x14ac:dyDescent="0.25">
      <c r="A22" s="25" t="s">
        <v>4</v>
      </c>
      <c r="B22" s="6">
        <v>706.73425202427961</v>
      </c>
      <c r="C22" s="2" t="s">
        <v>36</v>
      </c>
      <c r="D22" s="2" t="s">
        <v>115</v>
      </c>
      <c r="E22" s="6">
        <v>656.06547140817679</v>
      </c>
      <c r="F22" s="24"/>
    </row>
    <row r="23" spans="1:6" x14ac:dyDescent="0.25">
      <c r="A23" s="25" t="s">
        <v>5</v>
      </c>
      <c r="B23" s="6">
        <v>215.77965529836985</v>
      </c>
      <c r="C23" s="2" t="s">
        <v>36</v>
      </c>
      <c r="D23" s="2" t="s">
        <v>115</v>
      </c>
      <c r="E23" s="6">
        <v>537.42577726539866</v>
      </c>
    </row>
    <row r="24" spans="1:6" x14ac:dyDescent="0.25">
      <c r="A24" s="25" t="s">
        <v>6</v>
      </c>
      <c r="B24" s="6">
        <v>489.19716411122982</v>
      </c>
      <c r="C24" s="2" t="s">
        <v>36</v>
      </c>
      <c r="D24" s="2" t="s">
        <v>115</v>
      </c>
      <c r="E24" s="6">
        <v>619.27656068036345</v>
      </c>
    </row>
    <row r="25" spans="1:6" x14ac:dyDescent="0.25">
      <c r="A25" s="25" t="s">
        <v>7</v>
      </c>
      <c r="B25" s="6">
        <v>560.22242945364314</v>
      </c>
      <c r="C25" s="2" t="s">
        <v>36</v>
      </c>
      <c r="D25" s="2" t="s">
        <v>115</v>
      </c>
      <c r="E25" s="6">
        <v>632.83339003208971</v>
      </c>
    </row>
    <row r="26" spans="1:6" x14ac:dyDescent="0.25">
      <c r="A26" s="25" t="s">
        <v>8</v>
      </c>
      <c r="B26" s="6">
        <v>301.27966734332068</v>
      </c>
      <c r="C26" s="2" t="s">
        <v>36</v>
      </c>
      <c r="D26" s="2" t="s">
        <v>115</v>
      </c>
      <c r="E26" s="6">
        <v>570.80389607636516</v>
      </c>
    </row>
    <row r="27" spans="1:6" x14ac:dyDescent="0.25">
      <c r="A27" s="25" t="s">
        <v>9</v>
      </c>
      <c r="B27" s="6">
        <v>490.86320166202768</v>
      </c>
      <c r="C27" s="2" t="s">
        <v>36</v>
      </c>
      <c r="D27" s="2" t="s">
        <v>115</v>
      </c>
      <c r="E27" s="6">
        <v>619.61654772887766</v>
      </c>
    </row>
    <row r="28" spans="1:6" x14ac:dyDescent="0.25">
      <c r="A28" s="25" t="s">
        <v>10</v>
      </c>
      <c r="B28" s="6">
        <v>277.86787292296543</v>
      </c>
      <c r="C28" s="2" t="s">
        <v>36</v>
      </c>
      <c r="D28" s="2" t="s">
        <v>115</v>
      </c>
      <c r="E28" s="6">
        <v>562.71457234550826</v>
      </c>
    </row>
    <row r="29" spans="1:6" x14ac:dyDescent="0.25">
      <c r="A29" s="25" t="s">
        <v>11</v>
      </c>
      <c r="B29" s="6">
        <v>426.36153660164331</v>
      </c>
      <c r="C29" s="2" t="s">
        <v>36</v>
      </c>
      <c r="D29" s="2" t="s">
        <v>115</v>
      </c>
      <c r="E29" s="6">
        <v>605.52876638149189</v>
      </c>
    </row>
    <row r="30" spans="1:6" x14ac:dyDescent="0.25">
      <c r="A30" s="25" t="s">
        <v>12</v>
      </c>
      <c r="B30" s="6">
        <v>396.50840297969739</v>
      </c>
      <c r="C30" s="2" t="s">
        <v>36</v>
      </c>
      <c r="D30" s="2" t="s">
        <v>115</v>
      </c>
      <c r="E30" s="6">
        <v>598.26972337373411</v>
      </c>
    </row>
    <row r="31" spans="1:6" x14ac:dyDescent="0.25">
      <c r="A31" s="25" t="s">
        <v>13</v>
      </c>
      <c r="B31" s="6">
        <v>605.84944169791117</v>
      </c>
      <c r="C31" s="2" t="s">
        <v>36</v>
      </c>
      <c r="D31" s="2" t="s">
        <v>115</v>
      </c>
      <c r="E31" s="6">
        <v>640.66315091584329</v>
      </c>
    </row>
    <row r="32" spans="1:6" x14ac:dyDescent="0.25">
      <c r="A32" s="25" t="s">
        <v>14</v>
      </c>
      <c r="B32" s="6">
        <v>503.75319507651602</v>
      </c>
      <c r="C32" s="2" t="s">
        <v>36</v>
      </c>
      <c r="D32" s="2" t="s">
        <v>115</v>
      </c>
      <c r="E32" s="6">
        <v>622.2086455824433</v>
      </c>
    </row>
    <row r="33" spans="1:5" x14ac:dyDescent="0.25">
      <c r="A33" s="25" t="s">
        <v>15</v>
      </c>
      <c r="B33" s="6">
        <v>272.15991293262857</v>
      </c>
      <c r="C33" s="2" t="s">
        <v>36</v>
      </c>
      <c r="D33" s="2" t="s">
        <v>115</v>
      </c>
      <c r="E33" s="6">
        <v>560.63898087350537</v>
      </c>
    </row>
    <row r="34" spans="1:5" x14ac:dyDescent="0.25">
      <c r="A34" s="25" t="s">
        <v>16</v>
      </c>
      <c r="B34" s="6">
        <v>292.65210968495842</v>
      </c>
      <c r="C34" s="2" t="s">
        <v>36</v>
      </c>
      <c r="D34" s="2" t="s">
        <v>115</v>
      </c>
      <c r="E34" s="6">
        <v>567.89845646125218</v>
      </c>
    </row>
    <row r="35" spans="1:5" x14ac:dyDescent="0.25">
      <c r="A35" s="25" t="s">
        <v>17</v>
      </c>
      <c r="B35" s="6">
        <v>456.38421187702926</v>
      </c>
      <c r="C35" s="2" t="s">
        <v>36</v>
      </c>
      <c r="D35" s="2" t="s">
        <v>115</v>
      </c>
      <c r="E35" s="6">
        <v>612.333502465739</v>
      </c>
    </row>
    <row r="36" spans="1:5" x14ac:dyDescent="0.25">
      <c r="A36" s="25" t="s">
        <v>18</v>
      </c>
      <c r="B36" s="6">
        <v>298.42244452083912</v>
      </c>
      <c r="C36" s="2" t="s">
        <v>36</v>
      </c>
      <c r="D36" s="2" t="s">
        <v>115</v>
      </c>
      <c r="E36" s="6">
        <v>569.85100817236582</v>
      </c>
    </row>
    <row r="37" spans="1:5" x14ac:dyDescent="0.25">
      <c r="A37" s="25" t="s">
        <v>19</v>
      </c>
      <c r="B37" s="6">
        <v>708.62381094854993</v>
      </c>
      <c r="C37" s="2" t="s">
        <v>36</v>
      </c>
      <c r="D37" s="2" t="s">
        <v>115</v>
      </c>
      <c r="E37" s="6">
        <v>656.33247946731183</v>
      </c>
    </row>
    <row r="38" spans="1:5" x14ac:dyDescent="0.25">
      <c r="A38" s="25" t="s">
        <v>20</v>
      </c>
      <c r="B38" s="6">
        <v>269.12070046707902</v>
      </c>
      <c r="C38" s="2" t="s">
        <v>36</v>
      </c>
      <c r="D38" s="2" t="s">
        <v>115</v>
      </c>
      <c r="E38" s="6">
        <v>559.51599795869299</v>
      </c>
    </row>
    <row r="39" spans="1:5" x14ac:dyDescent="0.25">
      <c r="A39" s="25" t="s">
        <v>22</v>
      </c>
      <c r="B39" s="6">
        <v>312.56297685591773</v>
      </c>
      <c r="C39" s="2" t="s">
        <v>36</v>
      </c>
      <c r="D39" s="2" t="s">
        <v>115</v>
      </c>
      <c r="E39" s="6">
        <v>574.4805974811768</v>
      </c>
    </row>
    <row r="40" spans="1:5" x14ac:dyDescent="0.25">
      <c r="A40" s="25" t="s">
        <v>21</v>
      </c>
      <c r="B40" s="6">
        <v>289.34129870572133</v>
      </c>
      <c r="C40" s="2" t="s">
        <v>36</v>
      </c>
      <c r="D40" s="2" t="s">
        <v>115</v>
      </c>
      <c r="E40" s="6">
        <v>566.76069557021935</v>
      </c>
    </row>
    <row r="41" spans="1:5" x14ac:dyDescent="0.25">
      <c r="A41" s="25" t="s">
        <v>23</v>
      </c>
      <c r="B41" s="6">
        <v>510.79539485751781</v>
      </c>
      <c r="C41" s="2" t="s">
        <v>36</v>
      </c>
      <c r="D41" s="2" t="s">
        <v>115</v>
      </c>
      <c r="E41" s="6">
        <v>623.59691085686404</v>
      </c>
    </row>
    <row r="42" spans="1:5" x14ac:dyDescent="0.25">
      <c r="A42" s="25" t="s">
        <v>4</v>
      </c>
      <c r="B42" s="6">
        <v>595.95357002551157</v>
      </c>
      <c r="C42" s="2" t="s">
        <v>37</v>
      </c>
      <c r="D42" s="2" t="s">
        <v>116</v>
      </c>
      <c r="E42" s="6">
        <v>639.01627613890219</v>
      </c>
    </row>
    <row r="43" spans="1:5" x14ac:dyDescent="0.25">
      <c r="A43" s="25" t="s">
        <v>5</v>
      </c>
      <c r="B43" s="6">
        <v>198.4007142412803</v>
      </c>
      <c r="C43" s="2" t="s">
        <v>37</v>
      </c>
      <c r="D43" s="2" t="s">
        <v>116</v>
      </c>
      <c r="E43" s="6">
        <v>529.02887948507453</v>
      </c>
    </row>
    <row r="44" spans="1:5" x14ac:dyDescent="0.25">
      <c r="A44" s="25" t="s">
        <v>6</v>
      </c>
      <c r="B44" s="6">
        <v>415.06998168889641</v>
      </c>
      <c r="C44" s="2" t="s">
        <v>37</v>
      </c>
      <c r="D44" s="2" t="s">
        <v>116</v>
      </c>
      <c r="E44" s="6">
        <v>602.8447136589815</v>
      </c>
    </row>
    <row r="45" spans="1:5" x14ac:dyDescent="0.25">
      <c r="A45" s="25" t="s">
        <v>7</v>
      </c>
      <c r="B45" s="6">
        <v>541.78786447409743</v>
      </c>
      <c r="C45" s="2" t="s">
        <v>37</v>
      </c>
      <c r="D45" s="2" t="s">
        <v>116</v>
      </c>
      <c r="E45" s="6">
        <v>629.4874530865809</v>
      </c>
    </row>
    <row r="46" spans="1:5" x14ac:dyDescent="0.25">
      <c r="A46" s="25" t="s">
        <v>8</v>
      </c>
      <c r="B46" s="6">
        <v>373.55858296759527</v>
      </c>
      <c r="C46" s="2" t="s">
        <v>37</v>
      </c>
      <c r="D46" s="2" t="s">
        <v>116</v>
      </c>
      <c r="E46" s="6">
        <v>592.30748409148964</v>
      </c>
    </row>
    <row r="47" spans="1:5" x14ac:dyDescent="0.25">
      <c r="A47" s="25" t="s">
        <v>9</v>
      </c>
      <c r="B47" s="6">
        <v>503.57156061765818</v>
      </c>
      <c r="C47" s="2" t="s">
        <v>37</v>
      </c>
      <c r="D47" s="2" t="s">
        <v>116</v>
      </c>
      <c r="E47" s="6">
        <v>622.17258284104844</v>
      </c>
    </row>
    <row r="48" spans="1:5" x14ac:dyDescent="0.25">
      <c r="A48" s="25" t="s">
        <v>10</v>
      </c>
      <c r="B48" s="6">
        <v>278.28380164411533</v>
      </c>
      <c r="C48" s="2" t="s">
        <v>37</v>
      </c>
      <c r="D48" s="2" t="s">
        <v>116</v>
      </c>
      <c r="E48" s="6">
        <v>562.86414621814572</v>
      </c>
    </row>
    <row r="49" spans="1:5" x14ac:dyDescent="0.25">
      <c r="A49" s="25" t="s">
        <v>11</v>
      </c>
      <c r="B49" s="6">
        <v>396.25347175689848</v>
      </c>
      <c r="C49" s="2" t="s">
        <v>37</v>
      </c>
      <c r="D49" s="2" t="s">
        <v>116</v>
      </c>
      <c r="E49" s="6">
        <v>598.20540866847136</v>
      </c>
    </row>
    <row r="50" spans="1:5" x14ac:dyDescent="0.25">
      <c r="A50" s="25" t="s">
        <v>12</v>
      </c>
      <c r="B50" s="6">
        <v>382.85245573190463</v>
      </c>
      <c r="C50" s="2" t="s">
        <v>37</v>
      </c>
      <c r="D50" s="2" t="s">
        <v>116</v>
      </c>
      <c r="E50" s="6">
        <v>594.7649681883355</v>
      </c>
    </row>
    <row r="51" spans="1:5" x14ac:dyDescent="0.25">
      <c r="A51" s="25" t="s">
        <v>13</v>
      </c>
      <c r="B51" s="6">
        <v>509.07728245787911</v>
      </c>
      <c r="C51" s="2" t="s">
        <v>37</v>
      </c>
      <c r="D51" s="2" t="s">
        <v>116</v>
      </c>
      <c r="E51" s="6">
        <v>623.25998369660431</v>
      </c>
    </row>
    <row r="52" spans="1:5" x14ac:dyDescent="0.25">
      <c r="A52" s="25" t="s">
        <v>14</v>
      </c>
      <c r="B52" s="6">
        <v>457.19412705180667</v>
      </c>
      <c r="C52" s="2" t="s">
        <v>37</v>
      </c>
      <c r="D52" s="2" t="s">
        <v>116</v>
      </c>
      <c r="E52" s="6">
        <v>612.5108086369662</v>
      </c>
    </row>
    <row r="53" spans="1:5" x14ac:dyDescent="0.25">
      <c r="A53" s="25" t="s">
        <v>15</v>
      </c>
      <c r="B53" s="6">
        <v>285.98133015088513</v>
      </c>
      <c r="C53" s="2" t="s">
        <v>37</v>
      </c>
      <c r="D53" s="2" t="s">
        <v>116</v>
      </c>
      <c r="E53" s="6">
        <v>565.59265294963643</v>
      </c>
    </row>
    <row r="54" spans="1:5" x14ac:dyDescent="0.25">
      <c r="A54" s="25" t="s">
        <v>16</v>
      </c>
      <c r="B54" s="6">
        <v>290.77836067702009</v>
      </c>
      <c r="C54" s="2" t="s">
        <v>37</v>
      </c>
      <c r="D54" s="2" t="s">
        <v>116</v>
      </c>
      <c r="E54" s="6">
        <v>567.25613298129258</v>
      </c>
    </row>
    <row r="55" spans="1:5" x14ac:dyDescent="0.25">
      <c r="A55" s="25" t="s">
        <v>17</v>
      </c>
      <c r="B55" s="6">
        <v>459.26381187410834</v>
      </c>
      <c r="C55" s="2" t="s">
        <v>37</v>
      </c>
      <c r="D55" s="2" t="s">
        <v>116</v>
      </c>
      <c r="E55" s="6">
        <v>612.96247984913532</v>
      </c>
    </row>
    <row r="56" spans="1:5" x14ac:dyDescent="0.25">
      <c r="A56" s="25" t="s">
        <v>18</v>
      </c>
      <c r="B56" s="6">
        <v>270.57192164365449</v>
      </c>
      <c r="C56" s="2" t="s">
        <v>37</v>
      </c>
      <c r="D56" s="2" t="s">
        <v>116</v>
      </c>
      <c r="E56" s="6">
        <v>560.05379470256821</v>
      </c>
    </row>
    <row r="57" spans="1:5" x14ac:dyDescent="0.25">
      <c r="A57" s="25" t="s">
        <v>19</v>
      </c>
      <c r="B57" s="6">
        <v>604.01915288204577</v>
      </c>
      <c r="C57" s="2" t="s">
        <v>37</v>
      </c>
      <c r="D57" s="2" t="s">
        <v>116</v>
      </c>
      <c r="E57" s="6">
        <v>640.36059075016738</v>
      </c>
    </row>
    <row r="58" spans="1:5" x14ac:dyDescent="0.25">
      <c r="A58" s="25" t="s">
        <v>20</v>
      </c>
      <c r="B58" s="6">
        <v>278.48203638621538</v>
      </c>
      <c r="C58" s="2" t="s">
        <v>37</v>
      </c>
      <c r="D58" s="2" t="s">
        <v>116</v>
      </c>
      <c r="E58" s="6">
        <v>562.93535559808117</v>
      </c>
    </row>
    <row r="59" spans="1:5" x14ac:dyDescent="0.25">
      <c r="A59" s="25" t="s">
        <v>22</v>
      </c>
      <c r="B59" s="6">
        <v>449.92470566121381</v>
      </c>
      <c r="C59" s="2" t="s">
        <v>37</v>
      </c>
      <c r="D59" s="2" t="s">
        <v>116</v>
      </c>
      <c r="E59" s="6">
        <v>610.90802480118282</v>
      </c>
    </row>
    <row r="60" spans="1:5" x14ac:dyDescent="0.25">
      <c r="A60" s="25" t="s">
        <v>21</v>
      </c>
      <c r="B60" s="6">
        <v>256.9536564110872</v>
      </c>
      <c r="C60" s="2" t="s">
        <v>37</v>
      </c>
      <c r="D60" s="2" t="s">
        <v>116</v>
      </c>
      <c r="E60" s="6">
        <v>554.88957433859798</v>
      </c>
    </row>
    <row r="61" spans="1:5" x14ac:dyDescent="0.25">
      <c r="A61" s="25" t="s">
        <v>23</v>
      </c>
      <c r="B61" s="6">
        <v>448.1429409968141</v>
      </c>
      <c r="C61" s="2" t="s">
        <v>37</v>
      </c>
      <c r="D61" s="2" t="s">
        <v>116</v>
      </c>
      <c r="E61" s="6">
        <v>610.51122462496915</v>
      </c>
    </row>
    <row r="62" spans="1:5" x14ac:dyDescent="0.25">
      <c r="A62" s="25" t="s">
        <v>4</v>
      </c>
      <c r="B62" s="6">
        <v>625.97412165364346</v>
      </c>
      <c r="C62" s="2" t="s">
        <v>38</v>
      </c>
      <c r="D62" s="2" t="s">
        <v>114</v>
      </c>
      <c r="E62" s="6">
        <v>643.93090310341779</v>
      </c>
    </row>
    <row r="63" spans="1:5" x14ac:dyDescent="0.25">
      <c r="A63" s="25" t="s">
        <v>5</v>
      </c>
      <c r="B63" s="6">
        <v>180.57694483765306</v>
      </c>
      <c r="C63" s="2" t="s">
        <v>38</v>
      </c>
      <c r="D63" s="2" t="s">
        <v>114</v>
      </c>
      <c r="E63" s="6">
        <v>519.61569741275787</v>
      </c>
    </row>
    <row r="64" spans="1:5" x14ac:dyDescent="0.25">
      <c r="A64" s="25" t="s">
        <v>6</v>
      </c>
      <c r="B64" s="6">
        <v>527.91389019544545</v>
      </c>
      <c r="C64" s="2" t="s">
        <v>38</v>
      </c>
      <c r="D64" s="2" t="s">
        <v>114</v>
      </c>
      <c r="E64" s="6">
        <v>626.89331836551207</v>
      </c>
    </row>
    <row r="65" spans="1:5" x14ac:dyDescent="0.25">
      <c r="A65" s="25" t="s">
        <v>7</v>
      </c>
      <c r="B65" s="6">
        <v>636.70800475634246</v>
      </c>
      <c r="C65" s="2" t="s">
        <v>38</v>
      </c>
      <c r="D65" s="2" t="s">
        <v>114</v>
      </c>
      <c r="E65" s="6">
        <v>645.63111592014377</v>
      </c>
    </row>
    <row r="66" spans="1:5" x14ac:dyDescent="0.25">
      <c r="A66" s="25" t="s">
        <v>8</v>
      </c>
      <c r="B66" s="6">
        <v>314.63810400283342</v>
      </c>
      <c r="C66" s="2" t="s">
        <v>38</v>
      </c>
      <c r="D66" s="2" t="s">
        <v>114</v>
      </c>
      <c r="E66" s="6">
        <v>575.14231021800026</v>
      </c>
    </row>
    <row r="67" spans="1:5" x14ac:dyDescent="0.25">
      <c r="A67" s="25" t="s">
        <v>9</v>
      </c>
      <c r="B67" s="6">
        <v>553.05136521151087</v>
      </c>
      <c r="C67" s="2" t="s">
        <v>38</v>
      </c>
      <c r="D67" s="2" t="s">
        <v>114</v>
      </c>
      <c r="E67" s="6">
        <v>631.54508818589329</v>
      </c>
    </row>
    <row r="68" spans="1:5" x14ac:dyDescent="0.25">
      <c r="A68" s="25" t="s">
        <v>10</v>
      </c>
      <c r="B68" s="6">
        <v>280.50643289790895</v>
      </c>
      <c r="C68" s="2" t="s">
        <v>38</v>
      </c>
      <c r="D68" s="2" t="s">
        <v>114</v>
      </c>
      <c r="E68" s="6">
        <v>563.65966583821626</v>
      </c>
    </row>
    <row r="69" spans="1:5" x14ac:dyDescent="0.25">
      <c r="A69" s="25" t="s">
        <v>11</v>
      </c>
      <c r="B69" s="6">
        <v>309.99094912349909</v>
      </c>
      <c r="C69" s="2" t="s">
        <v>38</v>
      </c>
      <c r="D69" s="2" t="s">
        <v>114</v>
      </c>
      <c r="E69" s="6">
        <v>573.65431006771598</v>
      </c>
    </row>
    <row r="70" spans="1:5" x14ac:dyDescent="0.25">
      <c r="A70" s="25" t="s">
        <v>12</v>
      </c>
      <c r="B70" s="6">
        <v>414.24043257194018</v>
      </c>
      <c r="C70" s="2" t="s">
        <v>38</v>
      </c>
      <c r="D70" s="2" t="s">
        <v>114</v>
      </c>
      <c r="E70" s="6">
        <v>602.6446560257076</v>
      </c>
    </row>
    <row r="71" spans="1:5" x14ac:dyDescent="0.25">
      <c r="A71" s="25" t="s">
        <v>13</v>
      </c>
      <c r="B71" s="6">
        <v>568.01241915908906</v>
      </c>
      <c r="C71" s="2" t="s">
        <v>38</v>
      </c>
      <c r="D71" s="2" t="s">
        <v>114</v>
      </c>
      <c r="E71" s="6">
        <v>634.21432831988284</v>
      </c>
    </row>
    <row r="72" spans="1:5" x14ac:dyDescent="0.25">
      <c r="A72" s="25" t="s">
        <v>14</v>
      </c>
      <c r="B72" s="6">
        <v>583.30330320538962</v>
      </c>
      <c r="C72" s="2" t="s">
        <v>38</v>
      </c>
      <c r="D72" s="2" t="s">
        <v>114</v>
      </c>
      <c r="E72" s="6">
        <v>636.87072967049664</v>
      </c>
    </row>
    <row r="73" spans="1:5" x14ac:dyDescent="0.25">
      <c r="A73" s="25" t="s">
        <v>15</v>
      </c>
      <c r="B73" s="6">
        <v>237.57743797913281</v>
      </c>
      <c r="C73" s="2" t="s">
        <v>38</v>
      </c>
      <c r="D73" s="2" t="s">
        <v>114</v>
      </c>
      <c r="E73" s="6">
        <v>547.04936249794105</v>
      </c>
    </row>
    <row r="74" spans="1:5" x14ac:dyDescent="0.25">
      <c r="A74" s="25" t="s">
        <v>16</v>
      </c>
      <c r="B74" s="6">
        <v>348.20663384273956</v>
      </c>
      <c r="C74" s="2" t="s">
        <v>38</v>
      </c>
      <c r="D74" s="2" t="s">
        <v>114</v>
      </c>
      <c r="E74" s="6">
        <v>585.27960789697784</v>
      </c>
    </row>
    <row r="75" spans="1:5" x14ac:dyDescent="0.25">
      <c r="A75" s="25" t="s">
        <v>17</v>
      </c>
      <c r="B75" s="6">
        <v>491.97523616098329</v>
      </c>
      <c r="C75" s="2" t="s">
        <v>38</v>
      </c>
      <c r="D75" s="2" t="s">
        <v>114</v>
      </c>
      <c r="E75" s="6">
        <v>619.84283822194288</v>
      </c>
    </row>
    <row r="76" spans="1:5" x14ac:dyDescent="0.25">
      <c r="A76" s="25" t="s">
        <v>18</v>
      </c>
      <c r="B76" s="6">
        <v>362.7488327516636</v>
      </c>
      <c r="C76" s="2" t="s">
        <v>38</v>
      </c>
      <c r="D76" s="2" t="s">
        <v>114</v>
      </c>
      <c r="E76" s="6">
        <v>589.37106739828653</v>
      </c>
    </row>
    <row r="77" spans="1:5" x14ac:dyDescent="0.25">
      <c r="A77" s="25" t="s">
        <v>19</v>
      </c>
      <c r="B77" s="6">
        <v>576.40178084826709</v>
      </c>
      <c r="C77" s="2" t="s">
        <v>38</v>
      </c>
      <c r="D77" s="2" t="s">
        <v>114</v>
      </c>
      <c r="E77" s="6">
        <v>635.6804953725499</v>
      </c>
    </row>
    <row r="78" spans="1:5" x14ac:dyDescent="0.25">
      <c r="A78" s="25" t="s">
        <v>20</v>
      </c>
      <c r="B78" s="6">
        <v>264.19820005714678</v>
      </c>
      <c r="C78" s="2" t="s">
        <v>38</v>
      </c>
      <c r="D78" s="2" t="s">
        <v>114</v>
      </c>
      <c r="E78" s="6">
        <v>557.66995792608793</v>
      </c>
    </row>
    <row r="79" spans="1:5" x14ac:dyDescent="0.25">
      <c r="A79" s="25" t="s">
        <v>22</v>
      </c>
      <c r="B79" s="6">
        <v>355.11607678559182</v>
      </c>
      <c r="C79" s="2" t="s">
        <v>38</v>
      </c>
      <c r="D79" s="2" t="s">
        <v>114</v>
      </c>
      <c r="E79" s="6">
        <v>587.24447128909537</v>
      </c>
    </row>
    <row r="80" spans="1:5" x14ac:dyDescent="0.25">
      <c r="A80" s="25" t="s">
        <v>21</v>
      </c>
      <c r="B80" s="6">
        <v>248.22442306912228</v>
      </c>
      <c r="C80" s="2" t="s">
        <v>38</v>
      </c>
      <c r="D80" s="2" t="s">
        <v>114</v>
      </c>
      <c r="E80" s="6">
        <v>551.43332686914448</v>
      </c>
    </row>
    <row r="81" spans="1:5" x14ac:dyDescent="0.25">
      <c r="A81" s="25" t="s">
        <v>23</v>
      </c>
      <c r="B81" s="6">
        <v>512.1218143859054</v>
      </c>
      <c r="C81" s="2" t="s">
        <v>38</v>
      </c>
      <c r="D81" s="2" t="s">
        <v>114</v>
      </c>
      <c r="E81" s="6">
        <v>623.8562515463808</v>
      </c>
    </row>
    <row r="82" spans="1:5" x14ac:dyDescent="0.25">
      <c r="A82" s="25" t="s">
        <v>4</v>
      </c>
      <c r="B82" s="6">
        <v>556.23851732836431</v>
      </c>
      <c r="C82" s="2" t="s">
        <v>39</v>
      </c>
      <c r="D82" s="2" t="s">
        <v>115</v>
      </c>
      <c r="E82" s="6">
        <v>632.11971902621929</v>
      </c>
    </row>
    <row r="83" spans="1:5" x14ac:dyDescent="0.25">
      <c r="A83" s="25" t="s">
        <v>5</v>
      </c>
      <c r="B83" s="6">
        <v>199.2070851826108</v>
      </c>
      <c r="C83" s="2" t="s">
        <v>39</v>
      </c>
      <c r="D83" s="2" t="s">
        <v>115</v>
      </c>
      <c r="E83" s="6">
        <v>529.43449127037616</v>
      </c>
    </row>
    <row r="84" spans="1:5" x14ac:dyDescent="0.25">
      <c r="A84" s="25" t="s">
        <v>6</v>
      </c>
      <c r="B84" s="6">
        <v>499.0826986000323</v>
      </c>
      <c r="C84" s="2" t="s">
        <v>39</v>
      </c>
      <c r="D84" s="2" t="s">
        <v>115</v>
      </c>
      <c r="E84" s="6">
        <v>621.27718106774216</v>
      </c>
    </row>
    <row r="85" spans="1:5" x14ac:dyDescent="0.25">
      <c r="A85" s="25" t="s">
        <v>7</v>
      </c>
      <c r="B85" s="6">
        <v>548.60228664447254</v>
      </c>
      <c r="C85" s="2" t="s">
        <v>39</v>
      </c>
      <c r="D85" s="2" t="s">
        <v>115</v>
      </c>
      <c r="E85" s="6">
        <v>630.73737466400451</v>
      </c>
    </row>
    <row r="86" spans="1:5" x14ac:dyDescent="0.25">
      <c r="A86" s="25" t="s">
        <v>8</v>
      </c>
      <c r="B86" s="6">
        <v>281.28191820975479</v>
      </c>
      <c r="C86" s="2" t="s">
        <v>39</v>
      </c>
      <c r="D86" s="2" t="s">
        <v>115</v>
      </c>
      <c r="E86" s="6">
        <v>563.93574340474879</v>
      </c>
    </row>
    <row r="87" spans="1:5" x14ac:dyDescent="0.25">
      <c r="A87" s="25" t="s">
        <v>9</v>
      </c>
      <c r="B87" s="6">
        <v>533.60951888686486</v>
      </c>
      <c r="C87" s="2" t="s">
        <v>39</v>
      </c>
      <c r="D87" s="2" t="s">
        <v>115</v>
      </c>
      <c r="E87" s="6">
        <v>627.96643334356759</v>
      </c>
    </row>
    <row r="88" spans="1:5" x14ac:dyDescent="0.25">
      <c r="A88" s="25" t="s">
        <v>10</v>
      </c>
      <c r="B88" s="6">
        <v>281.03066834193032</v>
      </c>
      <c r="C88" s="2" t="s">
        <v>39</v>
      </c>
      <c r="D88" s="2" t="s">
        <v>115</v>
      </c>
      <c r="E88" s="6">
        <v>563.84638033852775</v>
      </c>
    </row>
    <row r="89" spans="1:5" x14ac:dyDescent="0.25">
      <c r="A89" s="25" t="s">
        <v>11</v>
      </c>
      <c r="B89" s="6">
        <v>346.72449925515525</v>
      </c>
      <c r="C89" s="2" t="s">
        <v>39</v>
      </c>
      <c r="D89" s="2" t="s">
        <v>115</v>
      </c>
      <c r="E89" s="6">
        <v>584.85305143280902</v>
      </c>
    </row>
    <row r="90" spans="1:5" x14ac:dyDescent="0.25">
      <c r="A90" s="25" t="s">
        <v>12</v>
      </c>
      <c r="B90" s="6">
        <v>423.39688455081472</v>
      </c>
      <c r="C90" s="2" t="s">
        <v>39</v>
      </c>
      <c r="D90" s="2" t="s">
        <v>115</v>
      </c>
      <c r="E90" s="6">
        <v>604.83100005036761</v>
      </c>
    </row>
    <row r="91" spans="1:5" x14ac:dyDescent="0.25">
      <c r="A91" s="25" t="s">
        <v>13</v>
      </c>
      <c r="B91" s="6">
        <v>493.67136866698792</v>
      </c>
      <c r="C91" s="2" t="s">
        <v>39</v>
      </c>
      <c r="D91" s="2" t="s">
        <v>115</v>
      </c>
      <c r="E91" s="6">
        <v>620.18700502004901</v>
      </c>
    </row>
    <row r="92" spans="1:5" x14ac:dyDescent="0.25">
      <c r="A92" s="25" t="s">
        <v>14</v>
      </c>
      <c r="B92" s="6">
        <v>442.02312416680303</v>
      </c>
      <c r="C92" s="2" t="s">
        <v>39</v>
      </c>
      <c r="D92" s="2" t="s">
        <v>115</v>
      </c>
      <c r="E92" s="6">
        <v>609.13621978286687</v>
      </c>
    </row>
    <row r="93" spans="1:5" x14ac:dyDescent="0.25">
      <c r="A93" s="25" t="s">
        <v>15</v>
      </c>
      <c r="B93" s="6">
        <v>299.00936610469097</v>
      </c>
      <c r="C93" s="2" t="s">
        <v>39</v>
      </c>
      <c r="D93" s="2" t="s">
        <v>115</v>
      </c>
      <c r="E93" s="6">
        <v>570.04748976649284</v>
      </c>
    </row>
    <row r="94" spans="1:5" x14ac:dyDescent="0.25">
      <c r="A94" s="25" t="s">
        <v>16</v>
      </c>
      <c r="B94" s="6">
        <v>387.07943677488606</v>
      </c>
      <c r="C94" s="2" t="s">
        <v>39</v>
      </c>
      <c r="D94" s="2" t="s">
        <v>115</v>
      </c>
      <c r="E94" s="6">
        <v>595.86299349504191</v>
      </c>
    </row>
    <row r="95" spans="1:5" x14ac:dyDescent="0.25">
      <c r="A95" s="25" t="s">
        <v>17</v>
      </c>
      <c r="B95" s="6">
        <v>457.9951475540804</v>
      </c>
      <c r="C95" s="2" t="s">
        <v>39</v>
      </c>
      <c r="D95" s="2" t="s">
        <v>115</v>
      </c>
      <c r="E95" s="6">
        <v>612.68585891979728</v>
      </c>
    </row>
    <row r="96" spans="1:5" x14ac:dyDescent="0.25">
      <c r="A96" s="25" t="s">
        <v>18</v>
      </c>
      <c r="B96" s="6">
        <v>321.25643719244226</v>
      </c>
      <c r="C96" s="2" t="s">
        <v>39</v>
      </c>
      <c r="D96" s="2" t="s">
        <v>115</v>
      </c>
      <c r="E96" s="6">
        <v>577.22396739618</v>
      </c>
    </row>
    <row r="97" spans="1:5" x14ac:dyDescent="0.25">
      <c r="A97" s="25" t="s">
        <v>19</v>
      </c>
      <c r="B97" s="6">
        <v>722.85890264052034</v>
      </c>
      <c r="C97" s="2" t="s">
        <v>39</v>
      </c>
      <c r="D97" s="2" t="s">
        <v>115</v>
      </c>
      <c r="E97" s="6">
        <v>658.32140477061682</v>
      </c>
    </row>
    <row r="98" spans="1:5" x14ac:dyDescent="0.25">
      <c r="A98" s="25" t="s">
        <v>20</v>
      </c>
      <c r="B98" s="6">
        <v>238.39905419203768</v>
      </c>
      <c r="C98" s="2" t="s">
        <v>39</v>
      </c>
      <c r="D98" s="2" t="s">
        <v>115</v>
      </c>
      <c r="E98" s="6">
        <v>547.39459678680464</v>
      </c>
    </row>
    <row r="99" spans="1:5" x14ac:dyDescent="0.25">
      <c r="A99" s="25" t="s">
        <v>22</v>
      </c>
      <c r="B99" s="6">
        <v>423.7425019048091</v>
      </c>
      <c r="C99" s="2" t="s">
        <v>39</v>
      </c>
      <c r="D99" s="2" t="s">
        <v>115</v>
      </c>
      <c r="E99" s="6">
        <v>604.91259639181885</v>
      </c>
    </row>
    <row r="100" spans="1:5" x14ac:dyDescent="0.25">
      <c r="A100" s="25" t="s">
        <v>21</v>
      </c>
      <c r="B100" s="6">
        <v>228.41431149439617</v>
      </c>
      <c r="C100" s="2" t="s">
        <v>39</v>
      </c>
      <c r="D100" s="2" t="s">
        <v>115</v>
      </c>
      <c r="E100" s="6">
        <v>543.11611356016329</v>
      </c>
    </row>
    <row r="101" spans="1:5" x14ac:dyDescent="0.25">
      <c r="A101" s="25" t="s">
        <v>23</v>
      </c>
      <c r="B101" s="6">
        <v>518.75397695052857</v>
      </c>
      <c r="C101" s="2" t="s">
        <v>39</v>
      </c>
      <c r="D101" s="2" t="s">
        <v>115</v>
      </c>
      <c r="E101" s="6">
        <v>625.14297379261791</v>
      </c>
    </row>
    <row r="102" spans="1:5" x14ac:dyDescent="0.25">
      <c r="A102" s="25" t="s">
        <v>4</v>
      </c>
      <c r="B102" s="6">
        <v>629.69262370244178</v>
      </c>
      <c r="C102" s="2" t="s">
        <v>40</v>
      </c>
      <c r="D102" s="2" t="s">
        <v>116</v>
      </c>
      <c r="E102" s="6">
        <v>644.52318014391756</v>
      </c>
    </row>
    <row r="103" spans="1:5" x14ac:dyDescent="0.25">
      <c r="A103" s="25" t="s">
        <v>5</v>
      </c>
      <c r="B103" s="6">
        <v>186.96803129179469</v>
      </c>
      <c r="C103" s="2" t="s">
        <v>40</v>
      </c>
      <c r="D103" s="2" t="s">
        <v>116</v>
      </c>
      <c r="E103" s="6">
        <v>523.09376465811499</v>
      </c>
    </row>
    <row r="104" spans="1:5" x14ac:dyDescent="0.25">
      <c r="A104" s="25" t="s">
        <v>6</v>
      </c>
      <c r="B104" s="6">
        <v>401.31988951544577</v>
      </c>
      <c r="C104" s="2" t="s">
        <v>40</v>
      </c>
      <c r="D104" s="2" t="s">
        <v>116</v>
      </c>
      <c r="E104" s="6">
        <v>599.47588387544886</v>
      </c>
    </row>
    <row r="105" spans="1:5" x14ac:dyDescent="0.25">
      <c r="A105" s="25" t="s">
        <v>7</v>
      </c>
      <c r="B105" s="6">
        <v>514.30646119362791</v>
      </c>
      <c r="C105" s="2" t="s">
        <v>40</v>
      </c>
      <c r="D105" s="2" t="s">
        <v>116</v>
      </c>
      <c r="E105" s="6">
        <v>624.28193157850353</v>
      </c>
    </row>
    <row r="106" spans="1:5" x14ac:dyDescent="0.25">
      <c r="A106" s="25" t="s">
        <v>8</v>
      </c>
      <c r="B106" s="6">
        <v>307.24887400799685</v>
      </c>
      <c r="C106" s="2" t="s">
        <v>40</v>
      </c>
      <c r="D106" s="2" t="s">
        <v>116</v>
      </c>
      <c r="E106" s="6">
        <v>572.76580836973517</v>
      </c>
    </row>
    <row r="107" spans="1:5" x14ac:dyDescent="0.25">
      <c r="A107" s="25" t="s">
        <v>9</v>
      </c>
      <c r="B107" s="6">
        <v>576.23253404906586</v>
      </c>
      <c r="C107" s="2" t="s">
        <v>40</v>
      </c>
      <c r="D107" s="2" t="s">
        <v>116</v>
      </c>
      <c r="E107" s="6">
        <v>635.65112841752693</v>
      </c>
    </row>
    <row r="108" spans="1:5" x14ac:dyDescent="0.25">
      <c r="A108" s="25" t="s">
        <v>10</v>
      </c>
      <c r="B108" s="6">
        <v>301.44990612585042</v>
      </c>
      <c r="C108" s="2" t="s">
        <v>40</v>
      </c>
      <c r="D108" s="2" t="s">
        <v>116</v>
      </c>
      <c r="E108" s="6">
        <v>570.86038535266766</v>
      </c>
    </row>
    <row r="109" spans="1:5" x14ac:dyDescent="0.25">
      <c r="A109" s="25" t="s">
        <v>11</v>
      </c>
      <c r="B109" s="6">
        <v>315.91541425553191</v>
      </c>
      <c r="C109" s="2" t="s">
        <v>40</v>
      </c>
      <c r="D109" s="2" t="s">
        <v>116</v>
      </c>
      <c r="E109" s="6">
        <v>575.54745013486445</v>
      </c>
    </row>
    <row r="110" spans="1:5" x14ac:dyDescent="0.25">
      <c r="A110" s="25" t="s">
        <v>12</v>
      </c>
      <c r="B110" s="6">
        <v>442.90325467249238</v>
      </c>
      <c r="C110" s="2" t="s">
        <v>40</v>
      </c>
      <c r="D110" s="2" t="s">
        <v>116</v>
      </c>
      <c r="E110" s="6">
        <v>609.33513594514693</v>
      </c>
    </row>
    <row r="111" spans="1:5" x14ac:dyDescent="0.25">
      <c r="A111" s="25" t="s">
        <v>13</v>
      </c>
      <c r="B111" s="6">
        <v>463.90439604674185</v>
      </c>
      <c r="C111" s="2" t="s">
        <v>40</v>
      </c>
      <c r="D111" s="2" t="s">
        <v>116</v>
      </c>
      <c r="E111" s="6">
        <v>613.96784879937684</v>
      </c>
    </row>
    <row r="112" spans="1:5" x14ac:dyDescent="0.25">
      <c r="A112" s="25" t="s">
        <v>14</v>
      </c>
      <c r="B112" s="6">
        <v>447.43941312176406</v>
      </c>
      <c r="C112" s="2" t="s">
        <v>40</v>
      </c>
      <c r="D112" s="2" t="s">
        <v>116</v>
      </c>
      <c r="E112" s="6">
        <v>610.35411388768659</v>
      </c>
    </row>
    <row r="113" spans="1:5" x14ac:dyDescent="0.25">
      <c r="A113" s="25" t="s">
        <v>15</v>
      </c>
      <c r="B113" s="6">
        <v>259.76267742797353</v>
      </c>
      <c r="C113" s="2" t="s">
        <v>40</v>
      </c>
      <c r="D113" s="2" t="s">
        <v>116</v>
      </c>
      <c r="E113" s="6">
        <v>555.97684350558131</v>
      </c>
    </row>
    <row r="114" spans="1:5" x14ac:dyDescent="0.25">
      <c r="A114" s="25" t="s">
        <v>16</v>
      </c>
      <c r="B114" s="6">
        <v>309.74425148888417</v>
      </c>
      <c r="C114" s="2" t="s">
        <v>40</v>
      </c>
      <c r="D114" s="2" t="s">
        <v>116</v>
      </c>
      <c r="E114" s="6">
        <v>573.57469617862216</v>
      </c>
    </row>
    <row r="115" spans="1:5" x14ac:dyDescent="0.25">
      <c r="A115" s="25" t="s">
        <v>17</v>
      </c>
      <c r="B115" s="6">
        <v>420.92768955009331</v>
      </c>
      <c r="C115" s="2" t="s">
        <v>40</v>
      </c>
      <c r="D115" s="2" t="s">
        <v>116</v>
      </c>
      <c r="E115" s="6">
        <v>604.24610601417749</v>
      </c>
    </row>
    <row r="116" spans="1:5" x14ac:dyDescent="0.25">
      <c r="A116" s="25" t="s">
        <v>18</v>
      </c>
      <c r="B116" s="6">
        <v>299.86655115915306</v>
      </c>
      <c r="C116" s="2" t="s">
        <v>40</v>
      </c>
      <c r="D116" s="2" t="s">
        <v>116</v>
      </c>
      <c r="E116" s="6">
        <v>570.33375462207334</v>
      </c>
    </row>
    <row r="117" spans="1:5" x14ac:dyDescent="0.25">
      <c r="A117" s="25" t="s">
        <v>19</v>
      </c>
      <c r="B117" s="6">
        <v>577.06066775382419</v>
      </c>
      <c r="C117" s="2" t="s">
        <v>40</v>
      </c>
      <c r="D117" s="2" t="s">
        <v>116</v>
      </c>
      <c r="E117" s="6">
        <v>635.7947404401757</v>
      </c>
    </row>
    <row r="118" spans="1:5" x14ac:dyDescent="0.25">
      <c r="A118" s="25" t="s">
        <v>20</v>
      </c>
      <c r="B118" s="6">
        <v>278.22212379860088</v>
      </c>
      <c r="C118" s="2" t="s">
        <v>40</v>
      </c>
      <c r="D118" s="2" t="s">
        <v>116</v>
      </c>
      <c r="E118" s="6">
        <v>562.84198011246849</v>
      </c>
    </row>
    <row r="119" spans="1:5" x14ac:dyDescent="0.25">
      <c r="A119" s="25" t="s">
        <v>22</v>
      </c>
      <c r="B119" s="6">
        <v>396.19202595123187</v>
      </c>
      <c r="C119" s="2" t="s">
        <v>40</v>
      </c>
      <c r="D119" s="2" t="s">
        <v>116</v>
      </c>
      <c r="E119" s="6">
        <v>598.18990077399349</v>
      </c>
    </row>
    <row r="120" spans="1:5" x14ac:dyDescent="0.25">
      <c r="A120" s="25" t="s">
        <v>21</v>
      </c>
      <c r="B120" s="6">
        <v>241.66993250511882</v>
      </c>
      <c r="C120" s="2" t="s">
        <v>40</v>
      </c>
      <c r="D120" s="2" t="s">
        <v>116</v>
      </c>
      <c r="E120" s="6">
        <v>548.75728799095396</v>
      </c>
    </row>
    <row r="121" spans="1:5" x14ac:dyDescent="0.25">
      <c r="A121" s="25" t="s">
        <v>23</v>
      </c>
      <c r="B121" s="6">
        <v>464.34589155309311</v>
      </c>
      <c r="C121" s="2" t="s">
        <v>40</v>
      </c>
      <c r="D121" s="2" t="s">
        <v>116</v>
      </c>
      <c r="E121" s="6">
        <v>614.0629730445379</v>
      </c>
    </row>
    <row r="122" spans="1:5" x14ac:dyDescent="0.25">
      <c r="A122" s="25" t="s">
        <v>4</v>
      </c>
      <c r="B122" s="6">
        <v>662.43443970567694</v>
      </c>
      <c r="C122" s="2" t="s">
        <v>41</v>
      </c>
      <c r="D122" s="2" t="s">
        <v>114</v>
      </c>
      <c r="E122" s="6">
        <v>649.59215940287913</v>
      </c>
    </row>
    <row r="123" spans="1:5" x14ac:dyDescent="0.25">
      <c r="A123" s="25" t="s">
        <v>5</v>
      </c>
      <c r="B123" s="6">
        <v>221.03494784023454</v>
      </c>
      <c r="C123" s="2" t="s">
        <v>41</v>
      </c>
      <c r="D123" s="2" t="s">
        <v>114</v>
      </c>
      <c r="E123" s="6">
        <v>539.8320824039414</v>
      </c>
    </row>
    <row r="124" spans="1:5" x14ac:dyDescent="0.25">
      <c r="A124" s="25" t="s">
        <v>6</v>
      </c>
      <c r="B124" s="6">
        <v>515.02921682796102</v>
      </c>
      <c r="C124" s="2" t="s">
        <v>41</v>
      </c>
      <c r="D124" s="2" t="s">
        <v>114</v>
      </c>
      <c r="E124" s="6">
        <v>624.42236307593328</v>
      </c>
    </row>
    <row r="125" spans="1:5" x14ac:dyDescent="0.25">
      <c r="A125" s="25" t="s">
        <v>7</v>
      </c>
      <c r="B125" s="6">
        <v>546.34544457983441</v>
      </c>
      <c r="C125" s="2" t="s">
        <v>41</v>
      </c>
      <c r="D125" s="2" t="s">
        <v>114</v>
      </c>
      <c r="E125" s="6">
        <v>630.32514580664349</v>
      </c>
    </row>
    <row r="126" spans="1:5" x14ac:dyDescent="0.25">
      <c r="A126" s="25" t="s">
        <v>8</v>
      </c>
      <c r="B126" s="6">
        <v>327.20065334060172</v>
      </c>
      <c r="C126" s="2" t="s">
        <v>41</v>
      </c>
      <c r="D126" s="2" t="s">
        <v>114</v>
      </c>
      <c r="E126" s="6">
        <v>579.05736014888282</v>
      </c>
    </row>
    <row r="127" spans="1:5" x14ac:dyDescent="0.25">
      <c r="A127" s="25" t="s">
        <v>9</v>
      </c>
      <c r="B127" s="6">
        <v>638.89612108824758</v>
      </c>
      <c r="C127" s="2" t="s">
        <v>41</v>
      </c>
      <c r="D127" s="2" t="s">
        <v>114</v>
      </c>
      <c r="E127" s="6">
        <v>645.97418763553196</v>
      </c>
    </row>
    <row r="128" spans="1:5" x14ac:dyDescent="0.25">
      <c r="A128" s="25" t="s">
        <v>10</v>
      </c>
      <c r="B128" s="6">
        <v>334.89807138077538</v>
      </c>
      <c r="C128" s="2" t="s">
        <v>41</v>
      </c>
      <c r="D128" s="2" t="s">
        <v>114</v>
      </c>
      <c r="E128" s="6">
        <v>581.3826220992222</v>
      </c>
    </row>
    <row r="129" spans="1:5" x14ac:dyDescent="0.25">
      <c r="A129" s="25" t="s">
        <v>11</v>
      </c>
      <c r="B129" s="6">
        <v>418.17114495876274</v>
      </c>
      <c r="C129" s="2" t="s">
        <v>41</v>
      </c>
      <c r="D129" s="2" t="s">
        <v>114</v>
      </c>
      <c r="E129" s="6">
        <v>603.58907864284026</v>
      </c>
    </row>
    <row r="130" spans="1:5" x14ac:dyDescent="0.25">
      <c r="A130" s="25" t="s">
        <v>12</v>
      </c>
      <c r="B130" s="6">
        <v>350.07965999651958</v>
      </c>
      <c r="C130" s="2" t="s">
        <v>41</v>
      </c>
      <c r="D130" s="2" t="s">
        <v>114</v>
      </c>
      <c r="E130" s="6">
        <v>585.81607285765665</v>
      </c>
    </row>
    <row r="131" spans="1:5" x14ac:dyDescent="0.25">
      <c r="A131" s="25" t="s">
        <v>13</v>
      </c>
      <c r="B131" s="6">
        <v>504.99355513495584</v>
      </c>
      <c r="C131" s="2" t="s">
        <v>41</v>
      </c>
      <c r="D131" s="2" t="s">
        <v>114</v>
      </c>
      <c r="E131" s="6">
        <v>622.45456670849251</v>
      </c>
    </row>
    <row r="132" spans="1:5" x14ac:dyDescent="0.25">
      <c r="A132" s="25" t="s">
        <v>14</v>
      </c>
      <c r="B132" s="6">
        <v>531.741590675569</v>
      </c>
      <c r="C132" s="2" t="s">
        <v>41</v>
      </c>
      <c r="D132" s="2" t="s">
        <v>114</v>
      </c>
      <c r="E132" s="6">
        <v>627.61576395228929</v>
      </c>
    </row>
    <row r="133" spans="1:5" x14ac:dyDescent="0.25">
      <c r="A133" s="25" t="s">
        <v>15</v>
      </c>
      <c r="B133" s="6">
        <v>316.98432810237972</v>
      </c>
      <c r="C133" s="2" t="s">
        <v>41</v>
      </c>
      <c r="D133" s="2" t="s">
        <v>114</v>
      </c>
      <c r="E133" s="6">
        <v>575.8852334492334</v>
      </c>
    </row>
    <row r="134" spans="1:5" x14ac:dyDescent="0.25">
      <c r="A134" s="25" t="s">
        <v>16</v>
      </c>
      <c r="B134" s="6">
        <v>390.59758010879824</v>
      </c>
      <c r="C134" s="2" t="s">
        <v>41</v>
      </c>
      <c r="D134" s="2" t="s">
        <v>114</v>
      </c>
      <c r="E134" s="6">
        <v>596.76778231054107</v>
      </c>
    </row>
    <row r="135" spans="1:5" x14ac:dyDescent="0.25">
      <c r="A135" s="25" t="s">
        <v>17</v>
      </c>
      <c r="B135" s="6">
        <v>508.96627675867177</v>
      </c>
      <c r="C135" s="2" t="s">
        <v>41</v>
      </c>
      <c r="D135" s="2" t="s">
        <v>114</v>
      </c>
      <c r="E135" s="6">
        <v>623.23817604433987</v>
      </c>
    </row>
    <row r="136" spans="1:5" x14ac:dyDescent="0.25">
      <c r="A136" s="25" t="s">
        <v>18</v>
      </c>
      <c r="B136" s="6">
        <v>366.13151959593313</v>
      </c>
      <c r="C136" s="2" t="s">
        <v>41</v>
      </c>
      <c r="D136" s="2" t="s">
        <v>114</v>
      </c>
      <c r="E136" s="6">
        <v>590.29926120113635</v>
      </c>
    </row>
    <row r="137" spans="1:5" x14ac:dyDescent="0.25">
      <c r="A137" s="25" t="s">
        <v>19</v>
      </c>
      <c r="B137" s="6">
        <v>646.37724636859002</v>
      </c>
      <c r="C137" s="2" t="s">
        <v>41</v>
      </c>
      <c r="D137" s="2" t="s">
        <v>114</v>
      </c>
      <c r="E137" s="6">
        <v>647.138330604369</v>
      </c>
    </row>
    <row r="138" spans="1:5" x14ac:dyDescent="0.25">
      <c r="A138" s="25" t="s">
        <v>20</v>
      </c>
      <c r="B138" s="6">
        <v>297.8137259373072</v>
      </c>
      <c r="C138" s="2" t="s">
        <v>41</v>
      </c>
      <c r="D138" s="2" t="s">
        <v>114</v>
      </c>
      <c r="E138" s="6">
        <v>569.64682103136931</v>
      </c>
    </row>
    <row r="139" spans="1:5" x14ac:dyDescent="0.25">
      <c r="A139" s="25" t="s">
        <v>22</v>
      </c>
      <c r="B139" s="6">
        <v>448.40419895861174</v>
      </c>
      <c r="C139" s="2" t="s">
        <v>41</v>
      </c>
      <c r="D139" s="2" t="s">
        <v>114</v>
      </c>
      <c r="E139" s="6">
        <v>610.56950554686375</v>
      </c>
    </row>
    <row r="140" spans="1:5" x14ac:dyDescent="0.25">
      <c r="A140" s="25" t="s">
        <v>21</v>
      </c>
      <c r="B140" s="6">
        <v>251.41503438442484</v>
      </c>
      <c r="C140" s="2" t="s">
        <v>41</v>
      </c>
      <c r="D140" s="2" t="s">
        <v>114</v>
      </c>
      <c r="E140" s="6">
        <v>552.710509701094</v>
      </c>
    </row>
    <row r="141" spans="1:5" x14ac:dyDescent="0.25">
      <c r="A141" s="25" t="s">
        <v>23</v>
      </c>
      <c r="B141" s="6">
        <v>520.64993439466127</v>
      </c>
      <c r="C141" s="2" t="s">
        <v>41</v>
      </c>
      <c r="D141" s="2" t="s">
        <v>114</v>
      </c>
      <c r="E141" s="6">
        <v>625.50779049692926</v>
      </c>
    </row>
    <row r="142" spans="1:5" x14ac:dyDescent="0.25">
      <c r="A142" s="25" t="s">
        <v>4</v>
      </c>
      <c r="B142" s="6">
        <v>645.17699960024163</v>
      </c>
      <c r="C142" s="2" t="s">
        <v>42</v>
      </c>
      <c r="D142" s="2" t="s">
        <v>115</v>
      </c>
      <c r="E142" s="6">
        <v>646.9524697134915</v>
      </c>
    </row>
    <row r="143" spans="1:5" x14ac:dyDescent="0.25">
      <c r="A143" s="25" t="s">
        <v>5</v>
      </c>
      <c r="B143" s="6">
        <v>233.56412492259201</v>
      </c>
      <c r="C143" s="2" t="s">
        <v>42</v>
      </c>
      <c r="D143" s="2" t="s">
        <v>115</v>
      </c>
      <c r="E143" s="6">
        <v>545.34566643425808</v>
      </c>
    </row>
    <row r="144" spans="1:5" x14ac:dyDescent="0.25">
      <c r="A144" s="25" t="s">
        <v>6</v>
      </c>
      <c r="B144" s="6">
        <v>564.92218304516143</v>
      </c>
      <c r="C144" s="2" t="s">
        <v>42</v>
      </c>
      <c r="D144" s="2" t="s">
        <v>115</v>
      </c>
      <c r="E144" s="6">
        <v>633.66879925373064</v>
      </c>
    </row>
    <row r="145" spans="1:5" x14ac:dyDescent="0.25">
      <c r="A145" s="25" t="s">
        <v>7</v>
      </c>
      <c r="B145" s="6">
        <v>571.60423762969981</v>
      </c>
      <c r="C145" s="2" t="s">
        <v>42</v>
      </c>
      <c r="D145" s="2" t="s">
        <v>115</v>
      </c>
      <c r="E145" s="6">
        <v>634.8446859656118</v>
      </c>
    </row>
    <row r="146" spans="1:5" x14ac:dyDescent="0.25">
      <c r="A146" s="25" t="s">
        <v>8</v>
      </c>
      <c r="B146" s="6">
        <v>288.67788355477541</v>
      </c>
      <c r="C146" s="2" t="s">
        <v>42</v>
      </c>
      <c r="D146" s="2" t="s">
        <v>115</v>
      </c>
      <c r="E146" s="6">
        <v>566.53114767194427</v>
      </c>
    </row>
    <row r="147" spans="1:5" x14ac:dyDescent="0.25">
      <c r="A147" s="25" t="s">
        <v>9</v>
      </c>
      <c r="B147" s="6">
        <v>552.42267062662461</v>
      </c>
      <c r="C147" s="2" t="s">
        <v>42</v>
      </c>
      <c r="D147" s="2" t="s">
        <v>115</v>
      </c>
      <c r="E147" s="6">
        <v>631.43134609294771</v>
      </c>
    </row>
    <row r="148" spans="1:5" x14ac:dyDescent="0.25">
      <c r="A148" s="25" t="s">
        <v>10</v>
      </c>
      <c r="B148" s="6">
        <v>309.86171460866842</v>
      </c>
      <c r="C148" s="2" t="s">
        <v>42</v>
      </c>
      <c r="D148" s="2" t="s">
        <v>115</v>
      </c>
      <c r="E148" s="6">
        <v>573.61261160475385</v>
      </c>
    </row>
    <row r="149" spans="1:5" x14ac:dyDescent="0.25">
      <c r="A149" s="25" t="s">
        <v>11</v>
      </c>
      <c r="B149" s="6">
        <v>331.15936825732655</v>
      </c>
      <c r="C149" s="2" t="s">
        <v>42</v>
      </c>
      <c r="D149" s="2" t="s">
        <v>115</v>
      </c>
      <c r="E149" s="6">
        <v>580.25997346027827</v>
      </c>
    </row>
    <row r="150" spans="1:5" x14ac:dyDescent="0.25">
      <c r="A150" s="25" t="s">
        <v>12</v>
      </c>
      <c r="B150" s="6">
        <v>395.92773242733301</v>
      </c>
      <c r="C150" s="2" t="s">
        <v>42</v>
      </c>
      <c r="D150" s="2" t="s">
        <v>115</v>
      </c>
      <c r="E150" s="6">
        <v>598.12317007300771</v>
      </c>
    </row>
    <row r="151" spans="1:5" x14ac:dyDescent="0.25">
      <c r="A151" s="25" t="s">
        <v>13</v>
      </c>
      <c r="B151" s="6">
        <v>507.32910967928933</v>
      </c>
      <c r="C151" s="2" t="s">
        <v>42</v>
      </c>
      <c r="D151" s="2" t="s">
        <v>115</v>
      </c>
      <c r="E151" s="6">
        <v>622.91599245137866</v>
      </c>
    </row>
    <row r="152" spans="1:5" x14ac:dyDescent="0.25">
      <c r="A152" s="25" t="s">
        <v>14</v>
      </c>
      <c r="B152" s="6">
        <v>516.87488151664456</v>
      </c>
      <c r="C152" s="2" t="s">
        <v>42</v>
      </c>
      <c r="D152" s="2" t="s">
        <v>115</v>
      </c>
      <c r="E152" s="6">
        <v>624.78008365477376</v>
      </c>
    </row>
    <row r="153" spans="1:5" x14ac:dyDescent="0.25">
      <c r="A153" s="25" t="s">
        <v>15</v>
      </c>
      <c r="B153" s="6">
        <v>298.0977064847512</v>
      </c>
      <c r="C153" s="2" t="s">
        <v>42</v>
      </c>
      <c r="D153" s="2" t="s">
        <v>115</v>
      </c>
      <c r="E153" s="6">
        <v>569.74213068763379</v>
      </c>
    </row>
    <row r="154" spans="1:5" x14ac:dyDescent="0.25">
      <c r="A154" s="25" t="s">
        <v>16</v>
      </c>
      <c r="B154" s="6">
        <v>389.63886363350935</v>
      </c>
      <c r="C154" s="2" t="s">
        <v>42</v>
      </c>
      <c r="D154" s="2" t="s">
        <v>115</v>
      </c>
      <c r="E154" s="6">
        <v>596.52203194461595</v>
      </c>
    </row>
    <row r="155" spans="1:5" x14ac:dyDescent="0.25">
      <c r="A155" s="25" t="s">
        <v>17</v>
      </c>
      <c r="B155" s="6">
        <v>441.36445709378495</v>
      </c>
      <c r="C155" s="2" t="s">
        <v>42</v>
      </c>
      <c r="D155" s="2" t="s">
        <v>115</v>
      </c>
      <c r="E155" s="6">
        <v>608.98709674581028</v>
      </c>
    </row>
    <row r="156" spans="1:5" x14ac:dyDescent="0.25">
      <c r="A156" s="25" t="s">
        <v>18</v>
      </c>
      <c r="B156" s="6">
        <v>330.66196693840698</v>
      </c>
      <c r="C156" s="2" t="s">
        <v>42</v>
      </c>
      <c r="D156" s="2" t="s">
        <v>115</v>
      </c>
      <c r="E156" s="6">
        <v>580.10966056278767</v>
      </c>
    </row>
    <row r="157" spans="1:5" x14ac:dyDescent="0.25">
      <c r="A157" s="25" t="s">
        <v>19</v>
      </c>
      <c r="B157" s="6">
        <v>740.5099357185286</v>
      </c>
      <c r="C157" s="2" t="s">
        <v>42</v>
      </c>
      <c r="D157" s="2" t="s">
        <v>115</v>
      </c>
      <c r="E157" s="6">
        <v>660.73390511985656</v>
      </c>
    </row>
    <row r="158" spans="1:5" x14ac:dyDescent="0.25">
      <c r="A158" s="25" t="s">
        <v>20</v>
      </c>
      <c r="B158" s="6">
        <v>283.39943029535203</v>
      </c>
      <c r="C158" s="2" t="s">
        <v>42</v>
      </c>
      <c r="D158" s="2" t="s">
        <v>115</v>
      </c>
      <c r="E158" s="6">
        <v>564.6857317005273</v>
      </c>
    </row>
    <row r="159" spans="1:5" x14ac:dyDescent="0.25">
      <c r="A159" s="25" t="s">
        <v>22</v>
      </c>
      <c r="B159" s="6">
        <v>382.683496057963</v>
      </c>
      <c r="C159" s="2" t="s">
        <v>42</v>
      </c>
      <c r="D159" s="2" t="s">
        <v>115</v>
      </c>
      <c r="E159" s="6">
        <v>594.72082664898915</v>
      </c>
    </row>
    <row r="160" spans="1:5" x14ac:dyDescent="0.25">
      <c r="A160" s="25" t="s">
        <v>21</v>
      </c>
      <c r="B160" s="6">
        <v>265.53943989630324</v>
      </c>
      <c r="C160" s="2" t="s">
        <v>42</v>
      </c>
      <c r="D160" s="2" t="s">
        <v>115</v>
      </c>
      <c r="E160" s="6">
        <v>558.17633791648734</v>
      </c>
    </row>
    <row r="161" spans="1:5" x14ac:dyDescent="0.25">
      <c r="A161" s="25" t="s">
        <v>23</v>
      </c>
      <c r="B161" s="6">
        <v>507.3685203988411</v>
      </c>
      <c r="C161" s="2" t="s">
        <v>42</v>
      </c>
      <c r="D161" s="2" t="s">
        <v>115</v>
      </c>
      <c r="E161" s="6">
        <v>622.92376042449757</v>
      </c>
    </row>
    <row r="162" spans="1:5" x14ac:dyDescent="0.25">
      <c r="A162" s="25" t="s">
        <v>4</v>
      </c>
      <c r="B162" s="6">
        <v>628.61852133160573</v>
      </c>
      <c r="C162" s="2" t="s">
        <v>43</v>
      </c>
      <c r="D162" s="2" t="s">
        <v>116</v>
      </c>
      <c r="E162" s="6">
        <v>644.35245883449352</v>
      </c>
    </row>
    <row r="163" spans="1:5" x14ac:dyDescent="0.25">
      <c r="A163" s="25" t="s">
        <v>5</v>
      </c>
      <c r="B163" s="6">
        <v>203.57994762346144</v>
      </c>
      <c r="C163" s="2" t="s">
        <v>43</v>
      </c>
      <c r="D163" s="2" t="s">
        <v>116</v>
      </c>
      <c r="E163" s="6">
        <v>531.60587907467334</v>
      </c>
    </row>
    <row r="164" spans="1:5" x14ac:dyDescent="0.25">
      <c r="A164" s="25" t="s">
        <v>6</v>
      </c>
      <c r="B164" s="6">
        <v>441.72173294774802</v>
      </c>
      <c r="C164" s="2" t="s">
        <v>43</v>
      </c>
      <c r="D164" s="2" t="s">
        <v>116</v>
      </c>
      <c r="E164" s="6">
        <v>609.06801203527698</v>
      </c>
    </row>
    <row r="165" spans="1:5" x14ac:dyDescent="0.25">
      <c r="A165" s="25" t="s">
        <v>7</v>
      </c>
      <c r="B165" s="6">
        <v>501.69293998241022</v>
      </c>
      <c r="C165" s="2" t="s">
        <v>43</v>
      </c>
      <c r="D165" s="2" t="s">
        <v>116</v>
      </c>
      <c r="E165" s="6">
        <v>621.79882592014587</v>
      </c>
    </row>
    <row r="166" spans="1:5" x14ac:dyDescent="0.25">
      <c r="A166" s="25" t="s">
        <v>8</v>
      </c>
      <c r="B166" s="6">
        <v>278.36266394507493</v>
      </c>
      <c r="C166" s="2" t="s">
        <v>43</v>
      </c>
      <c r="D166" s="2" t="s">
        <v>116</v>
      </c>
      <c r="E166" s="6">
        <v>562.89248100741054</v>
      </c>
    </row>
    <row r="167" spans="1:5" x14ac:dyDescent="0.25">
      <c r="A167" s="25" t="s">
        <v>9</v>
      </c>
      <c r="B167" s="6">
        <v>496.60496512548718</v>
      </c>
      <c r="C167" s="2" t="s">
        <v>43</v>
      </c>
      <c r="D167" s="2" t="s">
        <v>116</v>
      </c>
      <c r="E167" s="6">
        <v>620.77948712630837</v>
      </c>
    </row>
    <row r="168" spans="1:5" x14ac:dyDescent="0.25">
      <c r="A168" s="25" t="s">
        <v>10</v>
      </c>
      <c r="B168" s="6">
        <v>266.6455185522633</v>
      </c>
      <c r="C168" s="2" t="s">
        <v>43</v>
      </c>
      <c r="D168" s="2" t="s">
        <v>116</v>
      </c>
      <c r="E168" s="6">
        <v>558.59201304259636</v>
      </c>
    </row>
    <row r="169" spans="1:5" x14ac:dyDescent="0.25">
      <c r="A169" s="25" t="s">
        <v>11</v>
      </c>
      <c r="B169" s="6">
        <v>371.5090297165321</v>
      </c>
      <c r="C169" s="2" t="s">
        <v>43</v>
      </c>
      <c r="D169" s="2" t="s">
        <v>116</v>
      </c>
      <c r="E169" s="6">
        <v>591.75731699634537</v>
      </c>
    </row>
    <row r="170" spans="1:5" x14ac:dyDescent="0.25">
      <c r="A170" s="25" t="s">
        <v>12</v>
      </c>
      <c r="B170" s="6">
        <v>433.98923901013148</v>
      </c>
      <c r="C170" s="2" t="s">
        <v>43</v>
      </c>
      <c r="D170" s="2" t="s">
        <v>116</v>
      </c>
      <c r="E170" s="6">
        <v>607.30197388854754</v>
      </c>
    </row>
    <row r="171" spans="1:5" x14ac:dyDescent="0.25">
      <c r="A171" s="25" t="s">
        <v>13</v>
      </c>
      <c r="B171" s="6">
        <v>400.26245338662358</v>
      </c>
      <c r="C171" s="2" t="s">
        <v>43</v>
      </c>
      <c r="D171" s="2" t="s">
        <v>116</v>
      </c>
      <c r="E171" s="6">
        <v>599.21204654130895</v>
      </c>
    </row>
    <row r="172" spans="1:5" x14ac:dyDescent="0.25">
      <c r="A172" s="25" t="s">
        <v>14</v>
      </c>
      <c r="B172" s="6">
        <v>494.2564063537468</v>
      </c>
      <c r="C172" s="2" t="s">
        <v>43</v>
      </c>
      <c r="D172" s="2" t="s">
        <v>116</v>
      </c>
      <c r="E172" s="6">
        <v>620.30544237345464</v>
      </c>
    </row>
    <row r="173" spans="1:5" x14ac:dyDescent="0.25">
      <c r="A173" s="25" t="s">
        <v>15</v>
      </c>
      <c r="B173" s="6">
        <v>258.64513959238707</v>
      </c>
      <c r="C173" s="2" t="s">
        <v>43</v>
      </c>
      <c r="D173" s="2" t="s">
        <v>116</v>
      </c>
      <c r="E173" s="6">
        <v>555.54570048265566</v>
      </c>
    </row>
    <row r="174" spans="1:5" x14ac:dyDescent="0.25">
      <c r="A174" s="25" t="s">
        <v>16</v>
      </c>
      <c r="B174" s="6">
        <v>377.29569364470655</v>
      </c>
      <c r="C174" s="2" t="s">
        <v>43</v>
      </c>
      <c r="D174" s="2" t="s">
        <v>116</v>
      </c>
      <c r="E174" s="6">
        <v>593.30292132944919</v>
      </c>
    </row>
    <row r="175" spans="1:5" x14ac:dyDescent="0.25">
      <c r="A175" s="25" t="s">
        <v>17</v>
      </c>
      <c r="B175" s="6">
        <v>468.79961802464317</v>
      </c>
      <c r="C175" s="2" t="s">
        <v>43</v>
      </c>
      <c r="D175" s="2" t="s">
        <v>116</v>
      </c>
      <c r="E175" s="6">
        <v>615.01754234686211</v>
      </c>
    </row>
    <row r="176" spans="1:5" x14ac:dyDescent="0.25">
      <c r="A176" s="25" t="s">
        <v>18</v>
      </c>
      <c r="B176" s="6">
        <v>265.5910714195993</v>
      </c>
      <c r="C176" s="2" t="s">
        <v>43</v>
      </c>
      <c r="D176" s="2" t="s">
        <v>116</v>
      </c>
      <c r="E176" s="6">
        <v>558.19578003941524</v>
      </c>
    </row>
    <row r="177" spans="1:5" x14ac:dyDescent="0.25">
      <c r="A177" s="25" t="s">
        <v>19</v>
      </c>
      <c r="B177" s="6">
        <v>637.88338985405517</v>
      </c>
      <c r="C177" s="2" t="s">
        <v>43</v>
      </c>
      <c r="D177" s="2" t="s">
        <v>116</v>
      </c>
      <c r="E177" s="6">
        <v>645.81554921160671</v>
      </c>
    </row>
    <row r="178" spans="1:5" x14ac:dyDescent="0.25">
      <c r="A178" s="25" t="s">
        <v>20</v>
      </c>
      <c r="B178" s="6">
        <v>273.72334324716047</v>
      </c>
      <c r="C178" s="2" t="s">
        <v>43</v>
      </c>
      <c r="D178" s="2" t="s">
        <v>116</v>
      </c>
      <c r="E178" s="6">
        <v>561.21179001232542</v>
      </c>
    </row>
    <row r="179" spans="1:5" x14ac:dyDescent="0.25">
      <c r="A179" s="25" t="s">
        <v>22</v>
      </c>
      <c r="B179" s="6">
        <v>397.08271338552964</v>
      </c>
      <c r="C179" s="2" t="s">
        <v>43</v>
      </c>
      <c r="D179" s="2" t="s">
        <v>116</v>
      </c>
      <c r="E179" s="6">
        <v>598.41446050454329</v>
      </c>
    </row>
    <row r="180" spans="1:5" x14ac:dyDescent="0.25">
      <c r="A180" s="25" t="s">
        <v>21</v>
      </c>
      <c r="B180" s="6">
        <v>304.51907885405302</v>
      </c>
      <c r="C180" s="2" t="s">
        <v>43</v>
      </c>
      <c r="D180" s="2" t="s">
        <v>116</v>
      </c>
      <c r="E180" s="6">
        <v>571.87337415222748</v>
      </c>
    </row>
    <row r="181" spans="1:5" x14ac:dyDescent="0.25">
      <c r="A181" s="25" t="s">
        <v>23</v>
      </c>
      <c r="B181" s="6">
        <v>503.24878872418935</v>
      </c>
      <c r="C181" s="2" t="s">
        <v>43</v>
      </c>
      <c r="D181" s="2" t="s">
        <v>116</v>
      </c>
      <c r="E181" s="6">
        <v>622.10846576102767</v>
      </c>
    </row>
    <row r="182" spans="1:5" x14ac:dyDescent="0.25">
      <c r="A182" s="25" t="s">
        <v>4</v>
      </c>
      <c r="B182" s="6">
        <v>638.96908271547159</v>
      </c>
      <c r="C182" s="2" t="s">
        <v>44</v>
      </c>
      <c r="D182" s="2" t="s">
        <v>115</v>
      </c>
      <c r="E182" s="6">
        <v>645.98560693501463</v>
      </c>
    </row>
    <row r="183" spans="1:5" x14ac:dyDescent="0.25">
      <c r="A183" s="25" t="s">
        <v>5</v>
      </c>
      <c r="B183" s="6">
        <v>210.972923078549</v>
      </c>
      <c r="C183" s="2" t="s">
        <v>44</v>
      </c>
      <c r="D183" s="2" t="s">
        <v>115</v>
      </c>
      <c r="E183" s="6">
        <v>535.17297985995503</v>
      </c>
    </row>
    <row r="184" spans="1:5" x14ac:dyDescent="0.25">
      <c r="A184" s="25" t="s">
        <v>6</v>
      </c>
      <c r="B184" s="6">
        <v>413.523033197389</v>
      </c>
      <c r="C184" s="2" t="s">
        <v>44</v>
      </c>
      <c r="D184" s="2" t="s">
        <v>115</v>
      </c>
      <c r="E184" s="6">
        <v>602.47132159290504</v>
      </c>
    </row>
    <row r="185" spans="1:5" x14ac:dyDescent="0.25">
      <c r="A185" s="25" t="s">
        <v>7</v>
      </c>
      <c r="B185" s="6">
        <v>564.04350368766961</v>
      </c>
      <c r="C185" s="2" t="s">
        <v>44</v>
      </c>
      <c r="D185" s="2" t="s">
        <v>115</v>
      </c>
      <c r="E185" s="6">
        <v>633.51313827213653</v>
      </c>
    </row>
    <row r="186" spans="1:5" x14ac:dyDescent="0.25">
      <c r="A186" s="25" t="s">
        <v>8</v>
      </c>
      <c r="B186" s="6">
        <v>285.12885237823406</v>
      </c>
      <c r="C186" s="2" t="s">
        <v>44</v>
      </c>
      <c r="D186" s="2" t="s">
        <v>115</v>
      </c>
      <c r="E186" s="6">
        <v>565.29411917039272</v>
      </c>
    </row>
    <row r="187" spans="1:5" x14ac:dyDescent="0.25">
      <c r="A187" s="25" t="s">
        <v>9</v>
      </c>
      <c r="B187" s="6">
        <v>583.43844005392668</v>
      </c>
      <c r="C187" s="2" t="s">
        <v>44</v>
      </c>
      <c r="D187" s="2" t="s">
        <v>115</v>
      </c>
      <c r="E187" s="6">
        <v>636.89389449680402</v>
      </c>
    </row>
    <row r="188" spans="1:5" x14ac:dyDescent="0.25">
      <c r="A188" s="25" t="s">
        <v>10</v>
      </c>
      <c r="B188" s="6">
        <v>327.48241727308601</v>
      </c>
      <c r="C188" s="2" t="s">
        <v>44</v>
      </c>
      <c r="D188" s="2" t="s">
        <v>115</v>
      </c>
      <c r="E188" s="6">
        <v>579.14343659183021</v>
      </c>
    </row>
    <row r="189" spans="1:5" x14ac:dyDescent="0.25">
      <c r="A189" s="25" t="s">
        <v>11</v>
      </c>
      <c r="B189" s="6">
        <v>371.0402699947989</v>
      </c>
      <c r="C189" s="2" t="s">
        <v>44</v>
      </c>
      <c r="D189" s="2" t="s">
        <v>115</v>
      </c>
      <c r="E189" s="6">
        <v>591.63106011772857</v>
      </c>
    </row>
    <row r="190" spans="1:5" x14ac:dyDescent="0.25">
      <c r="A190" s="25" t="s">
        <v>12</v>
      </c>
      <c r="B190" s="6">
        <v>396.4816884200128</v>
      </c>
      <c r="C190" s="2" t="s">
        <v>44</v>
      </c>
      <c r="D190" s="2" t="s">
        <v>115</v>
      </c>
      <c r="E190" s="6">
        <v>598.26298569567621</v>
      </c>
    </row>
    <row r="191" spans="1:5" x14ac:dyDescent="0.25">
      <c r="A191" s="25" t="s">
        <v>13</v>
      </c>
      <c r="B191" s="6">
        <v>437.11166350980409</v>
      </c>
      <c r="C191" s="2" t="s">
        <v>44</v>
      </c>
      <c r="D191" s="2" t="s">
        <v>115</v>
      </c>
      <c r="E191" s="6">
        <v>608.01886853609028</v>
      </c>
    </row>
    <row r="192" spans="1:5" x14ac:dyDescent="0.25">
      <c r="A192" s="25" t="s">
        <v>14</v>
      </c>
      <c r="B192" s="6">
        <v>509.59646862828987</v>
      </c>
      <c r="C192" s="2" t="s">
        <v>44</v>
      </c>
      <c r="D192" s="2" t="s">
        <v>115</v>
      </c>
      <c r="E192" s="6">
        <v>623.36191745406347</v>
      </c>
    </row>
    <row r="193" spans="1:5" x14ac:dyDescent="0.25">
      <c r="A193" s="25" t="s">
        <v>15</v>
      </c>
      <c r="B193" s="6">
        <v>267.55437452930613</v>
      </c>
      <c r="C193" s="2" t="s">
        <v>44</v>
      </c>
      <c r="D193" s="2" t="s">
        <v>115</v>
      </c>
      <c r="E193" s="6">
        <v>558.93228149480967</v>
      </c>
    </row>
    <row r="194" spans="1:5" x14ac:dyDescent="0.25">
      <c r="A194" s="25" t="s">
        <v>16</v>
      </c>
      <c r="B194" s="6">
        <v>354.80170983029643</v>
      </c>
      <c r="C194" s="2" t="s">
        <v>44</v>
      </c>
      <c r="D194" s="2" t="s">
        <v>115</v>
      </c>
      <c r="E194" s="6">
        <v>587.15590695621904</v>
      </c>
    </row>
    <row r="195" spans="1:5" x14ac:dyDescent="0.25">
      <c r="A195" s="25" t="s">
        <v>17</v>
      </c>
      <c r="B195" s="6">
        <v>486.67096375452019</v>
      </c>
      <c r="C195" s="2" t="s">
        <v>44</v>
      </c>
      <c r="D195" s="2" t="s">
        <v>115</v>
      </c>
      <c r="E195" s="6">
        <v>618.75882556278668</v>
      </c>
    </row>
    <row r="196" spans="1:5" x14ac:dyDescent="0.25">
      <c r="A196" s="25" t="s">
        <v>18</v>
      </c>
      <c r="B196" s="6">
        <v>327.69725549049588</v>
      </c>
      <c r="C196" s="2" t="s">
        <v>44</v>
      </c>
      <c r="D196" s="2" t="s">
        <v>115</v>
      </c>
      <c r="E196" s="6">
        <v>579.20901806025506</v>
      </c>
    </row>
    <row r="197" spans="1:5" x14ac:dyDescent="0.25">
      <c r="A197" s="25" t="s">
        <v>19</v>
      </c>
      <c r="B197" s="6">
        <v>564.05840284628493</v>
      </c>
      <c r="C197" s="2" t="s">
        <v>44</v>
      </c>
      <c r="D197" s="2" t="s">
        <v>115</v>
      </c>
      <c r="E197" s="6">
        <v>633.51577972829045</v>
      </c>
    </row>
    <row r="198" spans="1:5" x14ac:dyDescent="0.25">
      <c r="A198" s="25" t="s">
        <v>20</v>
      </c>
      <c r="B198" s="6">
        <v>238.03641650468705</v>
      </c>
      <c r="C198" s="2" t="s">
        <v>44</v>
      </c>
      <c r="D198" s="2" t="s">
        <v>115</v>
      </c>
      <c r="E198" s="6">
        <v>547.2423672490454</v>
      </c>
    </row>
    <row r="199" spans="1:5" x14ac:dyDescent="0.25">
      <c r="A199" s="25" t="s">
        <v>22</v>
      </c>
      <c r="B199" s="6">
        <v>412.09404397311363</v>
      </c>
      <c r="C199" s="2" t="s">
        <v>44</v>
      </c>
      <c r="D199" s="2" t="s">
        <v>115</v>
      </c>
      <c r="E199" s="6">
        <v>602.12515853723676</v>
      </c>
    </row>
    <row r="200" spans="1:5" x14ac:dyDescent="0.25">
      <c r="A200" s="25" t="s">
        <v>21</v>
      </c>
      <c r="B200" s="6">
        <v>251.70877786702152</v>
      </c>
      <c r="C200" s="2" t="s">
        <v>44</v>
      </c>
      <c r="D200" s="2" t="s">
        <v>115</v>
      </c>
      <c r="E200" s="6">
        <v>552.82727758558667</v>
      </c>
    </row>
    <row r="201" spans="1:5" x14ac:dyDescent="0.25">
      <c r="A201" s="25" t="s">
        <v>23</v>
      </c>
      <c r="B201" s="6">
        <v>458.46080851823007</v>
      </c>
      <c r="C201" s="2" t="s">
        <v>44</v>
      </c>
      <c r="D201" s="2" t="s">
        <v>115</v>
      </c>
      <c r="E201" s="6">
        <v>612.78748104383681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36"/>
  <sheetViews>
    <sheetView zoomScaleNormal="100" workbookViewId="0"/>
  </sheetViews>
  <sheetFormatPr defaultRowHeight="13.2" x14ac:dyDescent="0.25"/>
  <cols>
    <col min="1" max="1" width="3.33203125" style="43" customWidth="1"/>
    <col min="2" max="2" width="17.21875" style="43" customWidth="1"/>
    <col min="3" max="4" width="7.6640625" style="43" customWidth="1"/>
    <col min="5" max="6" width="7.6640625" style="44" customWidth="1"/>
    <col min="7" max="14" width="8" style="44" customWidth="1"/>
    <col min="15" max="17" width="6.6640625" style="44" customWidth="1"/>
    <col min="18" max="18" width="7.33203125" style="44" customWidth="1"/>
    <col min="19" max="19" width="5.6640625" style="44" customWidth="1"/>
    <col min="20" max="20" width="9.109375" style="44" customWidth="1"/>
    <col min="21" max="21" width="6.6640625" style="44" customWidth="1"/>
    <col min="22" max="24" width="7.5546875" style="44" customWidth="1"/>
    <col min="25" max="25" width="6.6640625" style="44" customWidth="1"/>
    <col min="26" max="35" width="8.88671875" style="43"/>
    <col min="36" max="36" width="6.109375" style="43" customWidth="1"/>
    <col min="37" max="16384" width="8.88671875" style="43"/>
  </cols>
  <sheetData>
    <row r="1" spans="2:25" s="118" customFormat="1" ht="13.8" x14ac:dyDescent="0.25">
      <c r="B1" s="209" t="s">
        <v>101</v>
      </c>
      <c r="E1" s="90"/>
      <c r="F1" s="90"/>
      <c r="G1" s="90"/>
      <c r="H1" s="90"/>
      <c r="I1" s="90"/>
      <c r="J1" s="90"/>
      <c r="K1" s="90"/>
      <c r="L1" s="90"/>
      <c r="M1" s="90"/>
      <c r="N1" s="90"/>
      <c r="O1" s="90"/>
      <c r="P1" s="90"/>
      <c r="Q1" s="90"/>
      <c r="R1" s="90"/>
      <c r="S1" s="90"/>
      <c r="T1" s="90"/>
      <c r="U1" s="90"/>
      <c r="V1" s="90"/>
      <c r="W1" s="90"/>
      <c r="X1" s="90"/>
      <c r="Y1" s="90"/>
    </row>
    <row r="2" spans="2:25" x14ac:dyDescent="0.25">
      <c r="B2" s="270" t="s">
        <v>93</v>
      </c>
      <c r="C2" s="270"/>
    </row>
    <row r="3" spans="2:25" x14ac:dyDescent="0.25">
      <c r="B3" s="91" t="s">
        <v>105</v>
      </c>
      <c r="C3" s="221"/>
    </row>
    <row r="4" spans="2:25" x14ac:dyDescent="0.25">
      <c r="E4" s="31" t="s">
        <v>88</v>
      </c>
      <c r="F4" s="10"/>
      <c r="G4" s="11"/>
      <c r="H4" s="196"/>
      <c r="I4" s="12"/>
      <c r="J4" s="13"/>
      <c r="K4" s="14"/>
      <c r="L4" s="29"/>
      <c r="M4" s="30"/>
      <c r="N4" s="23"/>
      <c r="O4" s="205"/>
      <c r="P4"/>
      <c r="Q4"/>
      <c r="R4"/>
      <c r="T4" s="43"/>
      <c r="U4" s="43"/>
      <c r="V4" s="43"/>
      <c r="W4" s="43"/>
      <c r="X4" s="43"/>
      <c r="Y4" s="43"/>
    </row>
    <row r="5" spans="2:25" x14ac:dyDescent="0.25">
      <c r="B5" s="32" t="s">
        <v>103</v>
      </c>
      <c r="C5"/>
      <c r="D5"/>
      <c r="E5" s="2"/>
      <c r="F5" s="2"/>
      <c r="G5" s="2"/>
      <c r="H5" s="2"/>
      <c r="I5" s="2"/>
      <c r="J5" s="2"/>
      <c r="K5" s="2"/>
      <c r="L5" s="2"/>
      <c r="M5" s="2"/>
      <c r="N5" s="2"/>
      <c r="O5" s="2"/>
      <c r="P5" s="2"/>
      <c r="Q5" s="2"/>
      <c r="R5" s="2"/>
    </row>
    <row r="6" spans="2:25" x14ac:dyDescent="0.25">
      <c r="B6" s="32" t="s">
        <v>98</v>
      </c>
      <c r="C6"/>
      <c r="D6"/>
      <c r="E6" s="2"/>
      <c r="F6" s="2"/>
      <c r="G6" s="2"/>
      <c r="H6" s="2"/>
      <c r="I6" s="2"/>
      <c r="J6" s="2"/>
      <c r="K6" s="2"/>
      <c r="L6" s="2"/>
      <c r="M6" s="2"/>
      <c r="N6" s="2"/>
      <c r="O6" s="2"/>
      <c r="P6" s="2"/>
      <c r="Q6" s="2"/>
      <c r="R6" s="2"/>
    </row>
    <row r="7" spans="2:25" x14ac:dyDescent="0.25">
      <c r="B7" s="32" t="s">
        <v>118</v>
      </c>
      <c r="C7"/>
      <c r="D7"/>
      <c r="E7" s="2"/>
      <c r="F7" s="2"/>
      <c r="G7" s="2"/>
      <c r="H7" s="2"/>
      <c r="I7" s="2"/>
      <c r="J7" s="2"/>
      <c r="K7" s="2"/>
      <c r="L7" s="2"/>
      <c r="M7" s="2"/>
      <c r="N7" s="2"/>
      <c r="O7" s="2"/>
      <c r="P7" s="2"/>
      <c r="Q7" s="2"/>
      <c r="R7" s="2"/>
    </row>
    <row r="8" spans="2:25" x14ac:dyDescent="0.25">
      <c r="B8" s="32" t="s">
        <v>87</v>
      </c>
      <c r="C8"/>
      <c r="D8"/>
      <c r="E8" s="2"/>
      <c r="F8" s="2"/>
      <c r="G8" s="2"/>
      <c r="H8" s="2"/>
      <c r="I8" s="2"/>
      <c r="J8" s="2"/>
      <c r="K8" s="2"/>
      <c r="L8" s="2"/>
      <c r="M8" s="2"/>
      <c r="N8" s="2"/>
      <c r="O8" s="2"/>
      <c r="P8" s="2"/>
      <c r="Q8" s="2"/>
      <c r="R8" s="2"/>
    </row>
    <row r="9" spans="2:25" x14ac:dyDescent="0.25">
      <c r="B9" s="32" t="s">
        <v>107</v>
      </c>
      <c r="C9"/>
      <c r="D9"/>
      <c r="E9" s="2"/>
      <c r="F9" s="2"/>
      <c r="G9" s="2"/>
      <c r="H9" s="2"/>
      <c r="I9" s="2"/>
      <c r="J9" s="2"/>
      <c r="K9" s="2"/>
      <c r="L9" s="2"/>
      <c r="M9" s="2"/>
      <c r="N9" s="2"/>
      <c r="O9" s="2"/>
      <c r="P9" s="2"/>
      <c r="Q9" s="2"/>
      <c r="R9" s="2"/>
    </row>
    <row r="10" spans="2:25" x14ac:dyDescent="0.25">
      <c r="B10" s="32" t="s">
        <v>89</v>
      </c>
      <c r="C10"/>
      <c r="D10"/>
      <c r="E10" s="2"/>
      <c r="F10" s="2"/>
      <c r="G10" s="2"/>
      <c r="H10" s="2"/>
      <c r="I10" s="2"/>
      <c r="J10" s="2"/>
      <c r="K10" s="2"/>
      <c r="L10" s="2"/>
      <c r="M10" s="2"/>
      <c r="N10" s="2"/>
      <c r="O10" s="2"/>
      <c r="P10" s="2"/>
      <c r="Q10" s="2"/>
      <c r="R10" s="2"/>
    </row>
    <row r="11" spans="2:25" x14ac:dyDescent="0.25">
      <c r="B11" s="32" t="s">
        <v>90</v>
      </c>
      <c r="C11"/>
      <c r="D11"/>
      <c r="E11" s="2"/>
      <c r="F11" s="2"/>
      <c r="G11" s="2"/>
      <c r="H11" s="2"/>
      <c r="I11" s="2"/>
      <c r="J11" s="2"/>
      <c r="K11" s="2"/>
      <c r="L11" s="2"/>
      <c r="M11" s="2"/>
      <c r="N11" s="2"/>
      <c r="O11" s="2"/>
      <c r="P11" s="2"/>
      <c r="Q11" s="2"/>
      <c r="R11" s="2"/>
    </row>
    <row r="12" spans="2:25" x14ac:dyDescent="0.25">
      <c r="B12" s="32" t="s">
        <v>109</v>
      </c>
      <c r="C12"/>
      <c r="D12"/>
      <c r="E12" s="2"/>
      <c r="F12" s="2"/>
      <c r="G12" s="2"/>
      <c r="H12" s="2"/>
      <c r="I12" s="2"/>
      <c r="J12" s="2"/>
      <c r="K12" s="2"/>
      <c r="L12" s="2"/>
      <c r="M12" s="2"/>
      <c r="N12" s="2"/>
      <c r="O12" s="2"/>
      <c r="P12" s="2"/>
      <c r="Q12" s="2"/>
      <c r="R12" s="2"/>
      <c r="T12" s="43"/>
      <c r="U12" s="43"/>
      <c r="V12" s="43"/>
      <c r="W12" s="43"/>
      <c r="X12" s="43"/>
      <c r="Y12" s="43"/>
    </row>
    <row r="13" spans="2:25" x14ac:dyDescent="0.25">
      <c r="B13" s="91" t="s">
        <v>106</v>
      </c>
      <c r="C13" s="221"/>
    </row>
    <row r="14" spans="2:25" x14ac:dyDescent="0.25">
      <c r="B14" s="91" t="s">
        <v>104</v>
      </c>
      <c r="C14" s="221"/>
    </row>
    <row r="15" spans="2:25" x14ac:dyDescent="0.25">
      <c r="B15" s="208" t="s">
        <v>110</v>
      </c>
      <c r="C15"/>
      <c r="D15"/>
      <c r="E15" s="2"/>
      <c r="F15" s="2"/>
      <c r="G15" s="2"/>
      <c r="H15" s="2"/>
      <c r="I15" s="2"/>
      <c r="J15" s="2"/>
      <c r="K15" s="2"/>
      <c r="L15" s="2"/>
      <c r="M15" s="2"/>
      <c r="N15" s="2"/>
      <c r="O15" s="2"/>
      <c r="P15" s="2"/>
      <c r="Q15" s="2"/>
      <c r="R15" s="2"/>
      <c r="T15" s="43"/>
      <c r="U15" s="43"/>
      <c r="V15" s="43"/>
      <c r="W15" s="43"/>
      <c r="X15" s="43"/>
      <c r="Y15" s="43"/>
    </row>
    <row r="16" spans="2:25" x14ac:dyDescent="0.25">
      <c r="B16" s="32" t="s">
        <v>99</v>
      </c>
      <c r="C16"/>
      <c r="D16"/>
      <c r="E16" s="2"/>
      <c r="F16" s="2"/>
      <c r="G16" s="2"/>
      <c r="H16" s="2"/>
      <c r="I16" s="2"/>
      <c r="J16" s="2"/>
      <c r="K16" s="2"/>
      <c r="L16" s="2"/>
      <c r="M16" s="2"/>
      <c r="N16" s="2"/>
      <c r="O16" s="2"/>
      <c r="P16" s="2"/>
      <c r="Q16" s="2"/>
      <c r="R16" s="2"/>
      <c r="T16" s="43"/>
      <c r="U16" s="43"/>
      <c r="V16" s="43"/>
      <c r="W16" s="43"/>
      <c r="X16" s="43"/>
      <c r="Y16" s="43"/>
    </row>
    <row r="17" spans="2:36" x14ac:dyDescent="0.25">
      <c r="B17" s="32" t="s">
        <v>111</v>
      </c>
      <c r="C17"/>
      <c r="D17"/>
      <c r="E17" s="2"/>
      <c r="F17" s="2"/>
      <c r="G17" s="2"/>
      <c r="H17" s="2"/>
      <c r="I17" s="2"/>
      <c r="J17" s="2"/>
      <c r="K17" s="2"/>
      <c r="L17" s="2"/>
      <c r="M17" s="2"/>
      <c r="N17" s="2"/>
      <c r="O17" s="2"/>
      <c r="P17" s="2"/>
      <c r="Q17" s="2"/>
      <c r="R17" s="2"/>
      <c r="T17" s="43"/>
      <c r="U17" s="43"/>
      <c r="V17" s="43"/>
      <c r="W17" s="43"/>
      <c r="X17" s="43"/>
      <c r="Y17" s="43"/>
    </row>
    <row r="18" spans="2:36" x14ac:dyDescent="0.25">
      <c r="B18" s="32" t="s">
        <v>108</v>
      </c>
      <c r="C18"/>
      <c r="D18"/>
      <c r="E18" s="2"/>
      <c r="F18" s="2"/>
      <c r="G18" s="2"/>
      <c r="H18" s="2"/>
      <c r="I18" s="2"/>
      <c r="J18" s="2"/>
      <c r="K18" s="2"/>
      <c r="L18" s="2"/>
      <c r="M18" s="2"/>
      <c r="N18" s="2"/>
      <c r="O18" s="2"/>
      <c r="P18" s="2"/>
      <c r="Q18" s="2"/>
      <c r="R18" s="2"/>
      <c r="T18" s="43"/>
      <c r="U18" s="43"/>
      <c r="V18" s="43"/>
      <c r="W18" s="43"/>
      <c r="X18" s="43"/>
      <c r="Y18" s="43"/>
    </row>
    <row r="19" spans="2:36" x14ac:dyDescent="0.25">
      <c r="B19" s="68" t="s">
        <v>94</v>
      </c>
      <c r="C19" s="27"/>
    </row>
    <row r="20" spans="2:36" x14ac:dyDescent="0.25">
      <c r="Y20" s="43"/>
    </row>
    <row r="21" spans="2:36" x14ac:dyDescent="0.25">
      <c r="B21" s="168"/>
      <c r="C21" s="94" t="s">
        <v>96</v>
      </c>
      <c r="D21" s="195">
        <v>90</v>
      </c>
      <c r="E21" s="68"/>
      <c r="Y21" s="43"/>
    </row>
    <row r="22" spans="2:36" x14ac:dyDescent="0.25">
      <c r="B22" s="194" t="s">
        <v>86</v>
      </c>
      <c r="D22"/>
    </row>
    <row r="23" spans="2:36" x14ac:dyDescent="0.25">
      <c r="C23"/>
      <c r="D23" s="46" t="s">
        <v>84</v>
      </c>
      <c r="U23" s="48"/>
      <c r="AD23" s="44"/>
      <c r="AE23" s="44"/>
      <c r="AF23" s="44"/>
    </row>
    <row r="24" spans="2:36" ht="27.75" customHeight="1" x14ac:dyDescent="0.25">
      <c r="D24" s="49" t="s">
        <v>3</v>
      </c>
      <c r="F24" s="50"/>
      <c r="G24" s="50"/>
      <c r="H24" s="50"/>
      <c r="I24" s="50"/>
      <c r="J24" s="50"/>
      <c r="K24" s="50"/>
      <c r="L24" s="50"/>
      <c r="M24" s="50"/>
      <c r="N24" s="50"/>
      <c r="U24" s="51"/>
      <c r="V24" s="50"/>
      <c r="W24" s="50"/>
      <c r="X24" s="50"/>
      <c r="Y24" s="50"/>
      <c r="AC24" s="50"/>
      <c r="AD24" s="52"/>
      <c r="AE24" s="50"/>
      <c r="AF24" s="50"/>
    </row>
    <row r="25" spans="2:36" x14ac:dyDescent="0.25">
      <c r="C25" s="53" t="s">
        <v>2</v>
      </c>
      <c r="D25" s="203">
        <v>400</v>
      </c>
      <c r="U25" s="48"/>
      <c r="Z25" s="44"/>
      <c r="AA25" s="44"/>
      <c r="AD25" s="54"/>
      <c r="AE25" s="44"/>
      <c r="AF25" s="44"/>
      <c r="AG25" s="44"/>
    </row>
    <row r="26" spans="2:36" x14ac:dyDescent="0.25">
      <c r="C26" s="53" t="s">
        <v>25</v>
      </c>
      <c r="D26" s="203">
        <v>30</v>
      </c>
      <c r="U26" s="47"/>
      <c r="Z26" s="44"/>
      <c r="AA26" s="44"/>
      <c r="AB26" s="44"/>
      <c r="AC26" s="44"/>
      <c r="AD26" s="44"/>
      <c r="AE26" s="44"/>
      <c r="AF26" s="44"/>
      <c r="AG26" s="44"/>
    </row>
    <row r="27" spans="2:36" x14ac:dyDescent="0.25">
      <c r="C27" s="53" t="s">
        <v>26</v>
      </c>
      <c r="D27" s="55">
        <f>1+D26/100</f>
        <v>1.3</v>
      </c>
      <c r="U27" s="56"/>
      <c r="V27" s="28" t="s">
        <v>85</v>
      </c>
      <c r="Z27" s="44"/>
      <c r="AA27" s="44"/>
      <c r="AD27" s="54"/>
      <c r="AE27" s="44"/>
      <c r="AF27" s="44"/>
      <c r="AG27" s="44"/>
    </row>
    <row r="28" spans="2:36" x14ac:dyDescent="0.25">
      <c r="C28" s="53" t="s">
        <v>77</v>
      </c>
      <c r="D28" s="46"/>
      <c r="E28" s="197">
        <v>10</v>
      </c>
      <c r="F28" s="206">
        <f>E28</f>
        <v>10</v>
      </c>
      <c r="G28" s="206">
        <f t="shared" ref="G28:N28" si="0">F28</f>
        <v>10</v>
      </c>
      <c r="H28" s="206">
        <f t="shared" si="0"/>
        <v>10</v>
      </c>
      <c r="I28" s="206">
        <f t="shared" si="0"/>
        <v>10</v>
      </c>
      <c r="J28" s="206">
        <f t="shared" si="0"/>
        <v>10</v>
      </c>
      <c r="K28" s="206">
        <f t="shared" si="0"/>
        <v>10</v>
      </c>
      <c r="L28" s="206">
        <f t="shared" si="0"/>
        <v>10</v>
      </c>
      <c r="M28" s="206">
        <f t="shared" si="0"/>
        <v>10</v>
      </c>
      <c r="N28" s="206">
        <f t="shared" si="0"/>
        <v>10</v>
      </c>
      <c r="U28" s="48"/>
      <c r="V28" s="68"/>
      <c r="Z28" s="44"/>
      <c r="AA28" s="44"/>
      <c r="AC28" s="45"/>
      <c r="AE28" s="54"/>
      <c r="AF28" s="54"/>
      <c r="AG28" s="54"/>
    </row>
    <row r="29" spans="2:36" x14ac:dyDescent="0.25">
      <c r="C29" s="57"/>
      <c r="D29" s="46"/>
      <c r="E29" s="198"/>
      <c r="F29" s="198"/>
      <c r="G29" s="198"/>
      <c r="H29" s="198"/>
      <c r="I29" s="198"/>
      <c r="J29" s="198"/>
      <c r="K29" s="198"/>
      <c r="L29" s="198"/>
      <c r="M29" s="198"/>
      <c r="N29" s="199"/>
      <c r="U29" s="48"/>
      <c r="Z29" s="44"/>
      <c r="AA29" s="44"/>
      <c r="AC29" s="45"/>
      <c r="AE29" s="54"/>
      <c r="AF29" s="54"/>
      <c r="AG29" s="54"/>
    </row>
    <row r="30" spans="2:36" x14ac:dyDescent="0.25">
      <c r="C30" s="57"/>
      <c r="D30" s="53"/>
      <c r="E30" s="198"/>
      <c r="F30" s="198"/>
      <c r="G30" s="198"/>
      <c r="H30" s="198"/>
      <c r="I30" s="198"/>
      <c r="J30" s="198"/>
      <c r="K30" s="198"/>
      <c r="L30" s="198"/>
      <c r="M30" s="198"/>
      <c r="N30" s="198"/>
      <c r="R30" s="193" t="s">
        <v>91</v>
      </c>
      <c r="S30" s="192"/>
      <c r="U30" s="48"/>
      <c r="Z30" s="44"/>
      <c r="AA30" s="44"/>
      <c r="AC30" s="45"/>
      <c r="AE30" s="54"/>
      <c r="AF30" s="54"/>
      <c r="AG30" s="54"/>
      <c r="AI30" s="193" t="s">
        <v>91</v>
      </c>
      <c r="AJ30" s="192"/>
    </row>
    <row r="31" spans="2:36" ht="12.6" customHeight="1" x14ac:dyDescent="0.25">
      <c r="C31" s="53"/>
      <c r="D31" s="46"/>
      <c r="E31" s="200"/>
      <c r="F31" s="200"/>
      <c r="G31" s="200"/>
      <c r="H31" s="200"/>
      <c r="I31" s="200"/>
      <c r="J31" s="200"/>
      <c r="K31" s="200"/>
      <c r="L31" s="200"/>
      <c r="M31" s="200"/>
      <c r="N31" s="200"/>
      <c r="P31" s="58" t="s">
        <v>2</v>
      </c>
      <c r="R31" s="193" t="s">
        <v>92</v>
      </c>
      <c r="S31" s="192"/>
      <c r="Z31" s="44"/>
      <c r="AA31" s="44"/>
      <c r="AC31" s="45"/>
      <c r="AE31" s="54"/>
      <c r="AF31" s="44"/>
      <c r="AG31" s="58" t="s">
        <v>2</v>
      </c>
      <c r="AI31" s="193" t="s">
        <v>92</v>
      </c>
      <c r="AJ31" s="192"/>
    </row>
    <row r="32" spans="2:36" x14ac:dyDescent="0.25">
      <c r="C32" s="220" t="s">
        <v>4</v>
      </c>
      <c r="D32" s="59"/>
      <c r="E32" s="210">
        <v>475.32667427149573</v>
      </c>
      <c r="F32" s="211">
        <v>498.96096372119013</v>
      </c>
      <c r="G32" s="211"/>
      <c r="H32" s="211"/>
      <c r="I32" s="211"/>
      <c r="J32" s="211"/>
      <c r="K32" s="211"/>
      <c r="L32" s="211"/>
      <c r="M32" s="211"/>
      <c r="N32" s="212"/>
      <c r="O32" s="60"/>
      <c r="P32" s="61">
        <f>AVERAGE(E32:N32)</f>
        <v>487.14381899634293</v>
      </c>
      <c r="R32" s="191">
        <f>COUNT(E32:N32)*(P32-$P$54)^2</f>
        <v>5274.5738772731602</v>
      </c>
      <c r="S32" s="192">
        <f>COUNT(E32:N32)</f>
        <v>2</v>
      </c>
      <c r="U32" s="60"/>
      <c r="V32" s="156">
        <v>616.40023029614986</v>
      </c>
      <c r="W32" s="157">
        <v>621.25278636758185</v>
      </c>
      <c r="X32" s="157"/>
      <c r="Y32" s="157"/>
      <c r="Z32" s="157"/>
      <c r="AA32" s="157"/>
      <c r="AB32" s="157"/>
      <c r="AC32" s="157"/>
      <c r="AD32" s="157"/>
      <c r="AE32" s="158"/>
      <c r="AF32" s="60"/>
      <c r="AG32" s="61">
        <f t="shared" ref="AG32:AG51" si="1">AVERAGE(V32:AE32)</f>
        <v>618.82650833186585</v>
      </c>
      <c r="AI32" s="191">
        <f t="shared" ref="AI32:AI51" si="2">COUNT(V32:AE32)*(AG32-$AG$54)^2</f>
        <v>421.38331111118782</v>
      </c>
      <c r="AJ32" s="192">
        <f>COUNT(V32:AE32)</f>
        <v>2</v>
      </c>
    </row>
    <row r="33" spans="3:36" x14ac:dyDescent="0.25">
      <c r="C33" s="219" t="s">
        <v>5</v>
      </c>
      <c r="D33" s="20"/>
      <c r="E33" s="213">
        <v>651.80718660875664</v>
      </c>
      <c r="F33" s="214">
        <v>589.34576302694768</v>
      </c>
      <c r="G33" s="214"/>
      <c r="H33" s="214"/>
      <c r="I33" s="214"/>
      <c r="J33" s="214"/>
      <c r="K33" s="214"/>
      <c r="L33" s="214"/>
      <c r="M33" s="214"/>
      <c r="N33" s="215"/>
      <c r="O33" s="60"/>
      <c r="P33" s="61">
        <f t="shared" ref="P33:P51" si="3">AVERAGE(E33:N33)</f>
        <v>620.57647481785216</v>
      </c>
      <c r="R33" s="191">
        <f t="shared" ref="R33:R51" si="4">COUNT(E33:N33)*(P33-$P$54)^2</f>
        <v>68292.602237719941</v>
      </c>
      <c r="S33" s="192">
        <f t="shared" ref="S33:S51" si="5">COUNT(E33:N33)</f>
        <v>2</v>
      </c>
      <c r="U33" s="60"/>
      <c r="V33" s="159">
        <v>647.97487921308891</v>
      </c>
      <c r="W33" s="160">
        <v>637.90130454161385</v>
      </c>
      <c r="X33" s="160"/>
      <c r="Y33" s="160"/>
      <c r="Z33" s="160"/>
      <c r="AA33" s="160"/>
      <c r="AB33" s="160"/>
      <c r="AC33" s="160"/>
      <c r="AD33" s="160"/>
      <c r="AE33" s="161"/>
      <c r="AF33" s="60"/>
      <c r="AG33" s="61">
        <f t="shared" si="1"/>
        <v>642.93809187735133</v>
      </c>
      <c r="AI33" s="191">
        <f t="shared" si="2"/>
        <v>2984.0601379680452</v>
      </c>
      <c r="AJ33" s="192">
        <f t="shared" ref="AJ33:AJ51" si="6">COUNT(V33:AE33)</f>
        <v>2</v>
      </c>
    </row>
    <row r="34" spans="3:36" x14ac:dyDescent="0.25">
      <c r="C34" s="219" t="s">
        <v>6</v>
      </c>
      <c r="D34" s="20"/>
      <c r="E34" s="213">
        <v>320.64043789170898</v>
      </c>
      <c r="F34" s="214">
        <v>388.9994354818898</v>
      </c>
      <c r="G34" s="214"/>
      <c r="H34" s="214"/>
      <c r="I34" s="214"/>
      <c r="J34" s="214"/>
      <c r="K34" s="214"/>
      <c r="L34" s="214"/>
      <c r="M34" s="214"/>
      <c r="N34" s="215"/>
      <c r="O34" s="60"/>
      <c r="P34" s="61">
        <f t="shared" si="3"/>
        <v>354.81993668679939</v>
      </c>
      <c r="R34" s="191">
        <f t="shared" si="4"/>
        <v>13112.074590161435</v>
      </c>
      <c r="S34" s="192">
        <f t="shared" si="5"/>
        <v>2</v>
      </c>
      <c r="U34" s="60"/>
      <c r="V34" s="159">
        <v>577.03203641357425</v>
      </c>
      <c r="W34" s="160">
        <v>596.35778924140254</v>
      </c>
      <c r="X34" s="160"/>
      <c r="Y34" s="160"/>
      <c r="Z34" s="160"/>
      <c r="AA34" s="160"/>
      <c r="AB34" s="160"/>
      <c r="AC34" s="160"/>
      <c r="AD34" s="160"/>
      <c r="AE34" s="161"/>
      <c r="AF34" s="60"/>
      <c r="AG34" s="61">
        <f t="shared" si="1"/>
        <v>586.69491282748845</v>
      </c>
      <c r="AI34" s="191">
        <f t="shared" si="2"/>
        <v>620.67326524666316</v>
      </c>
      <c r="AJ34" s="192">
        <f t="shared" si="6"/>
        <v>2</v>
      </c>
    </row>
    <row r="35" spans="3:36" x14ac:dyDescent="0.25">
      <c r="C35" s="219" t="s">
        <v>7</v>
      </c>
      <c r="D35" s="20"/>
      <c r="E35" s="213">
        <v>385.69722727134308</v>
      </c>
      <c r="F35" s="214">
        <v>356.71910412559561</v>
      </c>
      <c r="G35" s="214"/>
      <c r="H35" s="214"/>
      <c r="I35" s="214"/>
      <c r="J35" s="214"/>
      <c r="K35" s="214"/>
      <c r="L35" s="214"/>
      <c r="M35" s="214"/>
      <c r="N35" s="215"/>
      <c r="O35" s="60"/>
      <c r="P35" s="61">
        <f t="shared" si="3"/>
        <v>371.20816569846932</v>
      </c>
      <c r="R35" s="191">
        <f t="shared" si="4"/>
        <v>8341.4450173233563</v>
      </c>
      <c r="S35" s="192">
        <f t="shared" si="5"/>
        <v>2</v>
      </c>
      <c r="U35" s="60"/>
      <c r="V35" s="159">
        <v>595.50526763663129</v>
      </c>
      <c r="W35" s="160">
        <v>587.69486488942118</v>
      </c>
      <c r="X35" s="160"/>
      <c r="Y35" s="160"/>
      <c r="Z35" s="160"/>
      <c r="AA35" s="160"/>
      <c r="AB35" s="160"/>
      <c r="AC35" s="160"/>
      <c r="AD35" s="160"/>
      <c r="AE35" s="161"/>
      <c r="AF35" s="60"/>
      <c r="AG35" s="61">
        <f t="shared" si="1"/>
        <v>591.60006626302629</v>
      </c>
      <c r="AI35" s="191">
        <f t="shared" si="2"/>
        <v>323.15025606618127</v>
      </c>
      <c r="AJ35" s="192">
        <f t="shared" si="6"/>
        <v>2</v>
      </c>
    </row>
    <row r="36" spans="3:36" x14ac:dyDescent="0.25">
      <c r="C36" s="219" t="s">
        <v>8</v>
      </c>
      <c r="D36" s="20"/>
      <c r="E36" s="213">
        <v>485.99541344560203</v>
      </c>
      <c r="F36" s="214">
        <v>511.85887279444057</v>
      </c>
      <c r="G36" s="214"/>
      <c r="H36" s="214"/>
      <c r="I36" s="214"/>
      <c r="J36" s="214"/>
      <c r="K36" s="214"/>
      <c r="L36" s="214"/>
      <c r="M36" s="214"/>
      <c r="N36" s="215"/>
      <c r="O36" s="60"/>
      <c r="P36" s="61">
        <f t="shared" si="3"/>
        <v>498.9271431200213</v>
      </c>
      <c r="R36" s="191">
        <f t="shared" si="4"/>
        <v>7972.7752478836346</v>
      </c>
      <c r="S36" s="192">
        <f t="shared" si="5"/>
        <v>2</v>
      </c>
      <c r="U36" s="60"/>
      <c r="V36" s="159">
        <v>618.61991865012328</v>
      </c>
      <c r="W36" s="160">
        <v>623.80489479707182</v>
      </c>
      <c r="X36" s="160"/>
      <c r="Y36" s="160"/>
      <c r="Z36" s="160"/>
      <c r="AA36" s="160"/>
      <c r="AB36" s="160"/>
      <c r="AC36" s="160"/>
      <c r="AD36" s="160"/>
      <c r="AE36" s="161"/>
      <c r="AF36" s="60"/>
      <c r="AG36" s="61">
        <f t="shared" si="1"/>
        <v>621.2124067235975</v>
      </c>
      <c r="AI36" s="191">
        <f t="shared" si="2"/>
        <v>571.29570803128888</v>
      </c>
      <c r="AJ36" s="192">
        <f t="shared" si="6"/>
        <v>2</v>
      </c>
    </row>
    <row r="37" spans="3:36" x14ac:dyDescent="0.25">
      <c r="C37" s="219" t="s">
        <v>9</v>
      </c>
      <c r="D37" s="20"/>
      <c r="E37" s="213">
        <v>512.58382627839433</v>
      </c>
      <c r="F37" s="214">
        <v>549.99042530787949</v>
      </c>
      <c r="G37" s="214"/>
      <c r="H37" s="214"/>
      <c r="I37" s="214"/>
      <c r="J37" s="214"/>
      <c r="K37" s="214"/>
      <c r="L37" s="214"/>
      <c r="M37" s="214"/>
      <c r="N37" s="215"/>
      <c r="O37" s="60"/>
      <c r="P37" s="61">
        <f t="shared" si="3"/>
        <v>531.28712579313697</v>
      </c>
      <c r="R37" s="191">
        <f t="shared" si="4"/>
        <v>18239.670642487898</v>
      </c>
      <c r="S37" s="192">
        <f t="shared" si="5"/>
        <v>2</v>
      </c>
      <c r="U37" s="60"/>
      <c r="V37" s="159">
        <v>623.94642611075551</v>
      </c>
      <c r="W37" s="160">
        <v>630.99008695438579</v>
      </c>
      <c r="X37" s="160"/>
      <c r="Y37" s="160"/>
      <c r="Z37" s="160"/>
      <c r="AA37" s="160"/>
      <c r="AB37" s="160"/>
      <c r="AC37" s="160"/>
      <c r="AD37" s="160"/>
      <c r="AE37" s="161"/>
      <c r="AF37" s="60"/>
      <c r="AG37" s="61">
        <f t="shared" si="1"/>
        <v>627.46825653257065</v>
      </c>
      <c r="AI37" s="191">
        <f t="shared" si="2"/>
        <v>1072.4904925922647</v>
      </c>
      <c r="AJ37" s="192">
        <f t="shared" si="6"/>
        <v>2</v>
      </c>
    </row>
    <row r="38" spans="3:36" x14ac:dyDescent="0.25">
      <c r="C38" s="219" t="s">
        <v>10</v>
      </c>
      <c r="D38" s="20"/>
      <c r="E38" s="213">
        <v>382.82949687036336</v>
      </c>
      <c r="F38" s="214">
        <v>462.19491994197648</v>
      </c>
      <c r="G38" s="214">
        <v>439.00546111357272</v>
      </c>
      <c r="H38" s="214">
        <v>481.68581731986257</v>
      </c>
      <c r="I38" s="214">
        <v>640.14876215065715</v>
      </c>
      <c r="J38" s="214"/>
      <c r="K38" s="214"/>
      <c r="L38" s="214"/>
      <c r="M38" s="214"/>
      <c r="N38" s="215"/>
      <c r="O38" s="60"/>
      <c r="P38" s="61">
        <f t="shared" si="3"/>
        <v>481.17289147928642</v>
      </c>
      <c r="R38" s="191">
        <f t="shared" si="4"/>
        <v>10298.353279792867</v>
      </c>
      <c r="S38" s="192">
        <f t="shared" si="5"/>
        <v>5</v>
      </c>
      <c r="U38" s="60"/>
      <c r="V38" s="159">
        <v>594.75897121753837</v>
      </c>
      <c r="W38" s="160">
        <v>613.59867067413165</v>
      </c>
      <c r="X38" s="160">
        <v>608.45118528920398</v>
      </c>
      <c r="Y38" s="160">
        <v>617.72920702296324</v>
      </c>
      <c r="Z38" s="160">
        <v>646.17005902039284</v>
      </c>
      <c r="AA38" s="160"/>
      <c r="AB38" s="160"/>
      <c r="AC38" s="160"/>
      <c r="AD38" s="160"/>
      <c r="AE38" s="161"/>
      <c r="AF38" s="60"/>
      <c r="AG38" s="61">
        <f t="shared" si="1"/>
        <v>616.14161864484595</v>
      </c>
      <c r="AI38" s="191">
        <f t="shared" si="2"/>
        <v>699.78375549933935</v>
      </c>
      <c r="AJ38" s="192">
        <f t="shared" si="6"/>
        <v>5</v>
      </c>
    </row>
    <row r="39" spans="3:36" x14ac:dyDescent="0.25">
      <c r="C39" s="219" t="s">
        <v>11</v>
      </c>
      <c r="D39" s="20"/>
      <c r="E39" s="213">
        <v>557.19808171051068</v>
      </c>
      <c r="F39" s="214">
        <v>470.53667906325109</v>
      </c>
      <c r="G39" s="214">
        <v>401.26481544339458</v>
      </c>
      <c r="H39" s="214">
        <v>456.02768656272963</v>
      </c>
      <c r="I39" s="214">
        <v>465.30671418037213</v>
      </c>
      <c r="J39" s="214"/>
      <c r="K39" s="214"/>
      <c r="L39" s="214"/>
      <c r="M39" s="214"/>
      <c r="N39" s="215"/>
      <c r="O39" s="60"/>
      <c r="P39" s="61">
        <f t="shared" si="3"/>
        <v>470.06679539205163</v>
      </c>
      <c r="R39" s="191">
        <f t="shared" si="4"/>
        <v>5874.7345106679259</v>
      </c>
      <c r="S39" s="192">
        <f t="shared" si="5"/>
        <v>5</v>
      </c>
      <c r="U39" s="60"/>
      <c r="V39" s="159">
        <v>632.2920799169126</v>
      </c>
      <c r="W39" s="160">
        <v>615.38739136133597</v>
      </c>
      <c r="X39" s="160">
        <v>599.46215969859941</v>
      </c>
      <c r="Y39" s="160">
        <v>612.25535238175723</v>
      </c>
      <c r="Z39" s="160">
        <v>614.26967885345277</v>
      </c>
      <c r="AA39" s="160"/>
      <c r="AB39" s="160"/>
      <c r="AC39" s="160"/>
      <c r="AD39" s="160"/>
      <c r="AE39" s="161"/>
      <c r="AF39" s="60"/>
      <c r="AG39" s="61">
        <f t="shared" si="1"/>
        <v>614.73333244241155</v>
      </c>
      <c r="AI39" s="191">
        <f t="shared" si="2"/>
        <v>543.0951748393876</v>
      </c>
      <c r="AJ39" s="192">
        <f t="shared" si="6"/>
        <v>5</v>
      </c>
    </row>
    <row r="40" spans="3:36" x14ac:dyDescent="0.25">
      <c r="C40" s="219" t="s">
        <v>12</v>
      </c>
      <c r="D40" s="20"/>
      <c r="E40" s="213">
        <v>397.8174013059176</v>
      </c>
      <c r="F40" s="214">
        <v>374.1521169784686</v>
      </c>
      <c r="G40" s="214">
        <v>305.21957765792075</v>
      </c>
      <c r="H40" s="214">
        <v>397.7294356931904</v>
      </c>
      <c r="I40" s="214">
        <v>335.30808608831637</v>
      </c>
      <c r="J40" s="214"/>
      <c r="K40" s="214"/>
      <c r="L40" s="214"/>
      <c r="M40" s="214"/>
      <c r="N40" s="215"/>
      <c r="O40" s="60"/>
      <c r="P40" s="61">
        <f t="shared" si="3"/>
        <v>362.04532354476277</v>
      </c>
      <c r="R40" s="191">
        <f t="shared" si="4"/>
        <v>27190.868039039229</v>
      </c>
      <c r="S40" s="192">
        <f t="shared" si="5"/>
        <v>5</v>
      </c>
      <c r="U40" s="60"/>
      <c r="V40" s="159">
        <v>598.59931093191392</v>
      </c>
      <c r="W40" s="160">
        <v>592.4662444611306</v>
      </c>
      <c r="X40" s="160">
        <v>572.10314443317429</v>
      </c>
      <c r="Y40" s="160">
        <v>598.57719642928635</v>
      </c>
      <c r="Z40" s="160">
        <v>581.50497691620603</v>
      </c>
      <c r="AA40" s="160"/>
      <c r="AB40" s="160"/>
      <c r="AC40" s="160"/>
      <c r="AD40" s="160"/>
      <c r="AE40" s="161"/>
      <c r="AF40" s="60"/>
      <c r="AG40" s="61">
        <f t="shared" si="1"/>
        <v>588.65017463434219</v>
      </c>
      <c r="AI40" s="191">
        <f t="shared" si="2"/>
        <v>1226.3521743667595</v>
      </c>
      <c r="AJ40" s="192">
        <f t="shared" si="6"/>
        <v>5</v>
      </c>
    </row>
    <row r="41" spans="3:36" x14ac:dyDescent="0.25">
      <c r="C41" s="219" t="s">
        <v>13</v>
      </c>
      <c r="D41" s="20"/>
      <c r="E41" s="213">
        <v>819.70211089506711</v>
      </c>
      <c r="F41" s="214">
        <v>696.59997055858105</v>
      </c>
      <c r="G41" s="214">
        <v>636.84102388508654</v>
      </c>
      <c r="H41" s="214">
        <v>738.02815088472062</v>
      </c>
      <c r="I41" s="214">
        <v>758.22047139134395</v>
      </c>
      <c r="J41" s="214"/>
      <c r="K41" s="214"/>
      <c r="L41" s="214"/>
      <c r="M41" s="214"/>
      <c r="N41" s="215"/>
      <c r="O41" s="60"/>
      <c r="P41" s="61">
        <f t="shared" si="3"/>
        <v>729.87834552295976</v>
      </c>
      <c r="R41" s="191">
        <f t="shared" si="4"/>
        <v>432441.84256808541</v>
      </c>
      <c r="S41" s="192">
        <f t="shared" si="5"/>
        <v>5</v>
      </c>
      <c r="U41" s="60"/>
      <c r="V41" s="159">
        <v>670.8940994860094</v>
      </c>
      <c r="W41" s="160">
        <v>654.62113156674457</v>
      </c>
      <c r="X41" s="160">
        <v>645.65200543852677</v>
      </c>
      <c r="Y41" s="160">
        <v>660.39819687032218</v>
      </c>
      <c r="Z41" s="160">
        <v>663.09742027063248</v>
      </c>
      <c r="AA41" s="160"/>
      <c r="AB41" s="160"/>
      <c r="AC41" s="160"/>
      <c r="AD41" s="160"/>
      <c r="AE41" s="161"/>
      <c r="AF41" s="60"/>
      <c r="AG41" s="61">
        <f t="shared" si="1"/>
        <v>658.93257072644712</v>
      </c>
      <c r="AI41" s="191">
        <f t="shared" si="2"/>
        <v>14917.423278264498</v>
      </c>
      <c r="AJ41" s="192">
        <f t="shared" si="6"/>
        <v>5</v>
      </c>
    </row>
    <row r="42" spans="3:36" x14ac:dyDescent="0.25">
      <c r="C42" s="219" t="s">
        <v>14</v>
      </c>
      <c r="D42" s="20"/>
      <c r="E42" s="213">
        <v>433.57928943384536</v>
      </c>
      <c r="F42" s="214">
        <v>438.49087670819864</v>
      </c>
      <c r="G42" s="214">
        <v>336.87598329006323</v>
      </c>
      <c r="H42" s="214">
        <v>418.24559268320269</v>
      </c>
      <c r="I42" s="214">
        <v>438.65041357454646</v>
      </c>
      <c r="J42" s="214"/>
      <c r="K42" s="214"/>
      <c r="L42" s="214"/>
      <c r="M42" s="214"/>
      <c r="N42" s="215"/>
      <c r="O42" s="60"/>
      <c r="P42" s="61">
        <f t="shared" si="3"/>
        <v>413.1684311379712</v>
      </c>
      <c r="R42" s="191">
        <f t="shared" si="4"/>
        <v>2558.5178415571436</v>
      </c>
      <c r="S42" s="192">
        <f t="shared" si="5"/>
        <v>5</v>
      </c>
      <c r="U42" s="60"/>
      <c r="V42" s="159">
        <v>607.20746847638532</v>
      </c>
      <c r="W42" s="160">
        <v>608.33390059132398</v>
      </c>
      <c r="X42" s="160">
        <v>581.97148605163318</v>
      </c>
      <c r="Y42" s="160">
        <v>603.60688022936677</v>
      </c>
      <c r="Z42" s="160">
        <v>608.3702771408889</v>
      </c>
      <c r="AA42" s="160"/>
      <c r="AB42" s="160"/>
      <c r="AC42" s="160"/>
      <c r="AD42" s="160"/>
      <c r="AE42" s="161"/>
      <c r="AF42" s="60"/>
      <c r="AG42" s="61">
        <f t="shared" si="1"/>
        <v>601.89800249791961</v>
      </c>
      <c r="AI42" s="191">
        <f t="shared" si="2"/>
        <v>29.119706081812666</v>
      </c>
      <c r="AJ42" s="192">
        <f t="shared" si="6"/>
        <v>5</v>
      </c>
    </row>
    <row r="43" spans="3:36" x14ac:dyDescent="0.25">
      <c r="C43" s="219" t="s">
        <v>15</v>
      </c>
      <c r="D43" s="20"/>
      <c r="E43" s="213">
        <v>371.32223850460889</v>
      </c>
      <c r="F43" s="214">
        <v>344.21922254034251</v>
      </c>
      <c r="G43" s="214">
        <v>360.70406139588107</v>
      </c>
      <c r="H43" s="214">
        <v>363.87887008461479</v>
      </c>
      <c r="I43" s="214">
        <v>377.10249974704601</v>
      </c>
      <c r="J43" s="214"/>
      <c r="K43" s="214"/>
      <c r="L43" s="214"/>
      <c r="M43" s="214"/>
      <c r="N43" s="215"/>
      <c r="O43" s="60"/>
      <c r="P43" s="61">
        <f t="shared" si="3"/>
        <v>363.44537845449867</v>
      </c>
      <c r="R43" s="191">
        <f t="shared" si="4"/>
        <v>26168.212688045351</v>
      </c>
      <c r="S43" s="192">
        <f t="shared" si="5"/>
        <v>5</v>
      </c>
      <c r="U43" s="60"/>
      <c r="V43" s="159">
        <v>591.70702530189169</v>
      </c>
      <c r="W43" s="160">
        <v>584.12787292266012</v>
      </c>
      <c r="X43" s="160">
        <v>588.80578476073481</v>
      </c>
      <c r="Y43" s="160">
        <v>589.68210377622063</v>
      </c>
      <c r="Z43" s="160">
        <v>593.2517033112789</v>
      </c>
      <c r="AA43" s="160"/>
      <c r="AB43" s="160"/>
      <c r="AC43" s="160"/>
      <c r="AD43" s="160"/>
      <c r="AE43" s="161"/>
      <c r="AF43" s="60"/>
      <c r="AG43" s="61">
        <f t="shared" si="1"/>
        <v>589.51489801455728</v>
      </c>
      <c r="AI43" s="191">
        <f t="shared" si="2"/>
        <v>1094.6656083221981</v>
      </c>
      <c r="AJ43" s="192">
        <f t="shared" si="6"/>
        <v>5</v>
      </c>
    </row>
    <row r="44" spans="3:36" x14ac:dyDescent="0.25">
      <c r="C44" s="219" t="s">
        <v>16</v>
      </c>
      <c r="D44" s="20"/>
      <c r="E44" s="213">
        <v>538.52150430516872</v>
      </c>
      <c r="F44" s="214">
        <v>511.39108401823421</v>
      </c>
      <c r="G44" s="214">
        <v>431.69228656815437</v>
      </c>
      <c r="H44" s="214">
        <v>393.06171903373519</v>
      </c>
      <c r="I44" s="214">
        <v>399.40846170893167</v>
      </c>
      <c r="J44" s="214">
        <v>434.96320648046452</v>
      </c>
      <c r="K44" s="214"/>
      <c r="L44" s="214"/>
      <c r="M44" s="214"/>
      <c r="N44" s="215"/>
      <c r="O44" s="60"/>
      <c r="P44" s="61">
        <f t="shared" si="3"/>
        <v>451.50637701911478</v>
      </c>
      <c r="R44" s="191">
        <f t="shared" si="4"/>
        <v>1482.1596427908939</v>
      </c>
      <c r="S44" s="192">
        <f t="shared" si="5"/>
        <v>6</v>
      </c>
      <c r="U44" s="60"/>
      <c r="V44" s="159">
        <v>628.88274295134477</v>
      </c>
      <c r="W44" s="160">
        <v>623.71346282472132</v>
      </c>
      <c r="X44" s="160">
        <v>606.77130348274579</v>
      </c>
      <c r="Y44" s="160">
        <v>597.39666454262135</v>
      </c>
      <c r="Z44" s="160">
        <v>598.99846068087004</v>
      </c>
      <c r="AA44" s="160">
        <v>607.5261444707827</v>
      </c>
      <c r="AB44" s="160"/>
      <c r="AC44" s="160"/>
      <c r="AD44" s="160"/>
      <c r="AE44" s="161"/>
      <c r="AF44" s="60"/>
      <c r="AG44" s="61">
        <f t="shared" si="1"/>
        <v>610.54812982551425</v>
      </c>
      <c r="AI44" s="191">
        <f t="shared" si="2"/>
        <v>233.38926409657574</v>
      </c>
      <c r="AJ44" s="192">
        <f t="shared" si="6"/>
        <v>6</v>
      </c>
    </row>
    <row r="45" spans="3:36" x14ac:dyDescent="0.25">
      <c r="C45" s="219" t="s">
        <v>17</v>
      </c>
      <c r="D45" s="20"/>
      <c r="E45" s="213">
        <v>413.1992047488161</v>
      </c>
      <c r="F45" s="214">
        <v>486.78150971415977</v>
      </c>
      <c r="G45" s="214">
        <v>433.98754218539904</v>
      </c>
      <c r="H45" s="214">
        <v>444.94469014311164</v>
      </c>
      <c r="I45" s="214">
        <v>385.39716794374999</v>
      </c>
      <c r="J45" s="214">
        <v>408.78592671566179</v>
      </c>
      <c r="K45" s="214"/>
      <c r="L45" s="214"/>
      <c r="M45" s="214"/>
      <c r="N45" s="215"/>
      <c r="O45" s="60"/>
      <c r="P45" s="61">
        <f t="shared" si="3"/>
        <v>428.84934024181638</v>
      </c>
      <c r="R45" s="191">
        <f t="shared" si="4"/>
        <v>288.97799140254847</v>
      </c>
      <c r="S45" s="192">
        <f t="shared" si="5"/>
        <v>6</v>
      </c>
      <c r="U45" s="60"/>
      <c r="V45" s="159">
        <v>602.3929812627988</v>
      </c>
      <c r="W45" s="160">
        <v>618.78153770603512</v>
      </c>
      <c r="X45" s="160">
        <v>607.30158290464806</v>
      </c>
      <c r="Y45" s="160">
        <v>609.79499826281403</v>
      </c>
      <c r="Z45" s="160">
        <v>595.42744075976623</v>
      </c>
      <c r="AA45" s="160">
        <v>601.31916124545967</v>
      </c>
      <c r="AB45" s="160"/>
      <c r="AC45" s="160"/>
      <c r="AD45" s="160"/>
      <c r="AE45" s="161"/>
      <c r="AF45" s="60"/>
      <c r="AG45" s="61">
        <f t="shared" si="1"/>
        <v>605.83628369025371</v>
      </c>
      <c r="AI45" s="191">
        <f t="shared" si="2"/>
        <v>13.953692736456219</v>
      </c>
      <c r="AJ45" s="192">
        <f t="shared" si="6"/>
        <v>6</v>
      </c>
    </row>
    <row r="46" spans="3:36" x14ac:dyDescent="0.25">
      <c r="C46" s="219" t="s">
        <v>18</v>
      </c>
      <c r="D46" s="20"/>
      <c r="E46" s="213">
        <v>556.95340413485917</v>
      </c>
      <c r="F46" s="214">
        <v>513.63080360087929</v>
      </c>
      <c r="G46" s="214">
        <v>541.56208400952914</v>
      </c>
      <c r="H46" s="214">
        <v>633.49136571557835</v>
      </c>
      <c r="I46" s="214">
        <v>626.15003979730523</v>
      </c>
      <c r="J46" s="214">
        <v>531.59913621465432</v>
      </c>
      <c r="K46" s="214"/>
      <c r="L46" s="214"/>
      <c r="M46" s="214"/>
      <c r="N46" s="215"/>
      <c r="O46" s="60"/>
      <c r="P46" s="61">
        <f t="shared" si="3"/>
        <v>567.23113891213416</v>
      </c>
      <c r="R46" s="191">
        <f t="shared" si="4"/>
        <v>103661.74697225384</v>
      </c>
      <c r="S46" s="192">
        <f t="shared" si="5"/>
        <v>6</v>
      </c>
      <c r="U46" s="60"/>
      <c r="V46" s="159">
        <v>632.24815813738917</v>
      </c>
      <c r="W46" s="160">
        <v>624.15047264356815</v>
      </c>
      <c r="X46" s="160">
        <v>629.44577117795052</v>
      </c>
      <c r="Y46" s="160">
        <v>645.12463701743548</v>
      </c>
      <c r="Z46" s="160">
        <v>643.95900225687797</v>
      </c>
      <c r="AA46" s="160">
        <v>627.58897019593917</v>
      </c>
      <c r="AB46" s="160"/>
      <c r="AC46" s="160"/>
      <c r="AD46" s="160"/>
      <c r="AE46" s="161"/>
      <c r="AF46" s="60"/>
      <c r="AG46" s="61">
        <f t="shared" si="1"/>
        <v>633.75283523819337</v>
      </c>
      <c r="AI46" s="191">
        <f t="shared" si="2"/>
        <v>5200.8286397725751</v>
      </c>
      <c r="AJ46" s="192">
        <f t="shared" si="6"/>
        <v>6</v>
      </c>
    </row>
    <row r="47" spans="3:36" x14ac:dyDescent="0.25">
      <c r="C47" s="219" t="s">
        <v>19</v>
      </c>
      <c r="D47" s="20"/>
      <c r="E47" s="213">
        <v>316.89839004473288</v>
      </c>
      <c r="F47" s="214">
        <v>279.93388890001791</v>
      </c>
      <c r="G47" s="214">
        <v>291.43907001698881</v>
      </c>
      <c r="H47" s="214">
        <v>292.08938694681126</v>
      </c>
      <c r="I47" s="214">
        <v>298.55637470018604</v>
      </c>
      <c r="J47" s="214">
        <v>258.44743806062189</v>
      </c>
      <c r="K47" s="214"/>
      <c r="L47" s="214"/>
      <c r="M47" s="214"/>
      <c r="N47" s="215"/>
      <c r="O47" s="60"/>
      <c r="P47" s="61">
        <f t="shared" si="3"/>
        <v>289.56075811155978</v>
      </c>
      <c r="R47" s="191">
        <f t="shared" si="4"/>
        <v>128296.71335613016</v>
      </c>
      <c r="S47" s="192">
        <f t="shared" si="5"/>
        <v>6</v>
      </c>
      <c r="U47" s="60"/>
      <c r="V47" s="159">
        <v>575.85811863581034</v>
      </c>
      <c r="W47" s="160">
        <v>563.45534642192774</v>
      </c>
      <c r="X47" s="160">
        <v>567.48309617021789</v>
      </c>
      <c r="Y47" s="160">
        <v>567.70598751040723</v>
      </c>
      <c r="Z47" s="160">
        <v>569.89587749679811</v>
      </c>
      <c r="AA47" s="160">
        <v>555.46923388849348</v>
      </c>
      <c r="AB47" s="160"/>
      <c r="AC47" s="160"/>
      <c r="AD47" s="160"/>
      <c r="AE47" s="161"/>
      <c r="AF47" s="60"/>
      <c r="AG47" s="61">
        <f t="shared" si="1"/>
        <v>566.64461002060909</v>
      </c>
      <c r="AI47" s="191">
        <f t="shared" si="2"/>
        <v>8512.6712463930053</v>
      </c>
      <c r="AJ47" s="192">
        <f t="shared" si="6"/>
        <v>6</v>
      </c>
    </row>
    <row r="48" spans="3:36" x14ac:dyDescent="0.25">
      <c r="C48" s="219" t="s">
        <v>20</v>
      </c>
      <c r="D48" s="20"/>
      <c r="E48" s="213">
        <v>439.27428960093374</v>
      </c>
      <c r="F48" s="214">
        <v>399.83619734658271</v>
      </c>
      <c r="G48" s="214">
        <v>376.18986011140521</v>
      </c>
      <c r="H48" s="214">
        <v>465.38771664652137</v>
      </c>
      <c r="I48" s="214">
        <v>374.99979796285737</v>
      </c>
      <c r="J48" s="214">
        <v>371.22254616958759</v>
      </c>
      <c r="K48" s="214"/>
      <c r="L48" s="214"/>
      <c r="M48" s="214"/>
      <c r="N48" s="215"/>
      <c r="O48" s="60"/>
      <c r="P48" s="61">
        <f t="shared" si="3"/>
        <v>404.48506797298131</v>
      </c>
      <c r="R48" s="191">
        <f t="shared" si="4"/>
        <v>5879.7284963406428</v>
      </c>
      <c r="S48" s="192">
        <f t="shared" si="5"/>
        <v>6</v>
      </c>
      <c r="U48" s="60"/>
      <c r="V48" s="159">
        <v>608.51240234345983</v>
      </c>
      <c r="W48" s="160">
        <v>599.10549566036991</v>
      </c>
      <c r="X48" s="160">
        <v>593.00939630518053</v>
      </c>
      <c r="Y48" s="160">
        <v>614.2870857409705</v>
      </c>
      <c r="Z48" s="160">
        <v>592.69254872045519</v>
      </c>
      <c r="AA48" s="160">
        <v>591.68017376709463</v>
      </c>
      <c r="AB48" s="160"/>
      <c r="AC48" s="160"/>
      <c r="AD48" s="160"/>
      <c r="AE48" s="161"/>
      <c r="AF48" s="60"/>
      <c r="AG48" s="61">
        <f t="shared" si="1"/>
        <v>599.88118375625515</v>
      </c>
      <c r="AI48" s="191">
        <f t="shared" si="2"/>
        <v>117.75487890116682</v>
      </c>
      <c r="AJ48" s="192">
        <f t="shared" si="6"/>
        <v>6</v>
      </c>
    </row>
    <row r="49" spans="3:36" x14ac:dyDescent="0.25">
      <c r="C49" s="219" t="s">
        <v>22</v>
      </c>
      <c r="D49" s="20"/>
      <c r="E49" s="213">
        <v>423.0528200283083</v>
      </c>
      <c r="F49" s="214">
        <v>339.76469727793346</v>
      </c>
      <c r="G49" s="214">
        <v>405.52800826292861</v>
      </c>
      <c r="H49" s="214">
        <v>371.98636681660139</v>
      </c>
      <c r="I49" s="214">
        <v>402.53407302201936</v>
      </c>
      <c r="J49" s="214">
        <v>465.91481263744009</v>
      </c>
      <c r="K49" s="214"/>
      <c r="L49" s="214"/>
      <c r="M49" s="214"/>
      <c r="N49" s="215"/>
      <c r="O49" s="60"/>
      <c r="P49" s="61">
        <f t="shared" si="3"/>
        <v>401.46346300753856</v>
      </c>
      <c r="R49" s="191">
        <f t="shared" si="4"/>
        <v>7069.5772389174781</v>
      </c>
      <c r="S49" s="192">
        <f t="shared" si="5"/>
        <v>6</v>
      </c>
      <c r="U49" s="60"/>
      <c r="V49" s="159">
        <v>604.74970412939456</v>
      </c>
      <c r="W49" s="160">
        <v>582.82533111918042</v>
      </c>
      <c r="X49" s="160">
        <v>600.51899421021869</v>
      </c>
      <c r="Y49" s="160">
        <v>591.88572052591098</v>
      </c>
      <c r="Z49" s="160">
        <v>599.77797467465712</v>
      </c>
      <c r="AA49" s="160">
        <v>614.40028119156284</v>
      </c>
      <c r="AB49" s="160"/>
      <c r="AC49" s="160"/>
      <c r="AD49" s="160"/>
      <c r="AE49" s="161"/>
      <c r="AF49" s="60"/>
      <c r="AG49" s="61">
        <f t="shared" si="1"/>
        <v>599.02633430848744</v>
      </c>
      <c r="AI49" s="191">
        <f t="shared" si="2"/>
        <v>167.58433825638724</v>
      </c>
      <c r="AJ49" s="192">
        <f t="shared" si="6"/>
        <v>6</v>
      </c>
    </row>
    <row r="50" spans="3:36" x14ac:dyDescent="0.25">
      <c r="C50" s="219" t="s">
        <v>21</v>
      </c>
      <c r="D50" s="20"/>
      <c r="E50" s="213">
        <v>521.77313499707179</v>
      </c>
      <c r="F50" s="214">
        <v>446.27946500977635</v>
      </c>
      <c r="G50" s="214">
        <v>559.38506721852252</v>
      </c>
      <c r="H50" s="214">
        <v>511.12887240568961</v>
      </c>
      <c r="I50" s="214">
        <v>562.78318349777203</v>
      </c>
      <c r="J50" s="214">
        <v>400.14436280034755</v>
      </c>
      <c r="K50" s="214"/>
      <c r="L50" s="214"/>
      <c r="M50" s="214"/>
      <c r="N50" s="215"/>
      <c r="O50" s="60"/>
      <c r="P50" s="61">
        <f t="shared" si="3"/>
        <v>500.24901432153001</v>
      </c>
      <c r="R50" s="191">
        <f t="shared" si="4"/>
        <v>24930.331012042559</v>
      </c>
      <c r="S50" s="192">
        <f t="shared" si="5"/>
        <v>6</v>
      </c>
      <c r="U50" s="60"/>
      <c r="V50" s="159">
        <v>625.72328861282176</v>
      </c>
      <c r="W50" s="160">
        <v>610.09453589472059</v>
      </c>
      <c r="X50" s="160">
        <v>632.68380861293338</v>
      </c>
      <c r="Y50" s="160">
        <v>623.66217548961447</v>
      </c>
      <c r="Z50" s="160">
        <v>633.28944447258914</v>
      </c>
      <c r="AA50" s="160">
        <v>599.18253889975847</v>
      </c>
      <c r="AB50" s="160"/>
      <c r="AC50" s="160"/>
      <c r="AD50" s="160"/>
      <c r="AE50" s="161"/>
      <c r="AF50" s="60"/>
      <c r="AG50" s="61">
        <f t="shared" si="1"/>
        <v>620.77263199707295</v>
      </c>
      <c r="AI50" s="191">
        <f t="shared" si="2"/>
        <v>1625.8553103485458</v>
      </c>
      <c r="AJ50" s="192">
        <f t="shared" si="6"/>
        <v>6</v>
      </c>
    </row>
    <row r="51" spans="3:36" x14ac:dyDescent="0.25">
      <c r="C51" s="219" t="s">
        <v>23</v>
      </c>
      <c r="D51" s="20"/>
      <c r="E51" s="216">
        <v>275.36252278275009</v>
      </c>
      <c r="F51" s="217">
        <v>256.94515153626128</v>
      </c>
      <c r="G51" s="217">
        <v>286.10478672215783</v>
      </c>
      <c r="H51" s="217">
        <v>302.58339232455791</v>
      </c>
      <c r="I51" s="217">
        <v>292.21624802501333</v>
      </c>
      <c r="J51" s="217">
        <v>306.20302749542731</v>
      </c>
      <c r="K51" s="217">
        <v>325.11817295157954</v>
      </c>
      <c r="L51" s="217">
        <v>281.52703187920127</v>
      </c>
      <c r="M51" s="217">
        <v>259.66409626564837</v>
      </c>
      <c r="N51" s="218">
        <v>291.5873642277719</v>
      </c>
      <c r="O51" s="60"/>
      <c r="P51" s="61">
        <f t="shared" si="3"/>
        <v>287.73117942103687</v>
      </c>
      <c r="R51" s="191">
        <f t="shared" si="4"/>
        <v>219212.06154606552</v>
      </c>
      <c r="S51" s="192">
        <f t="shared" si="5"/>
        <v>10</v>
      </c>
      <c r="U51" s="60"/>
      <c r="V51" s="162">
        <v>561.80884941831368</v>
      </c>
      <c r="W51" s="163">
        <v>554.88626439714835</v>
      </c>
      <c r="X51" s="163">
        <v>565.6358130856886</v>
      </c>
      <c r="Y51" s="163">
        <v>571.2356916584921</v>
      </c>
      <c r="Z51" s="163">
        <v>567.74941036057419</v>
      </c>
      <c r="AA51" s="163">
        <v>572.42483704883136</v>
      </c>
      <c r="AB51" s="163">
        <v>578.4188725321759</v>
      </c>
      <c r="AC51" s="163">
        <v>564.02284709594107</v>
      </c>
      <c r="AD51" s="163">
        <v>555.938885830505</v>
      </c>
      <c r="AE51" s="164">
        <v>567.5339666643398</v>
      </c>
      <c r="AF51" s="60"/>
      <c r="AG51" s="61">
        <f t="shared" si="1"/>
        <v>565.96554380920099</v>
      </c>
      <c r="AI51" s="191">
        <f t="shared" si="2"/>
        <v>14703.960070051706</v>
      </c>
      <c r="AJ51" s="192">
        <f t="shared" si="6"/>
        <v>10</v>
      </c>
    </row>
    <row r="52" spans="3:36" x14ac:dyDescent="0.25">
      <c r="D52" s="62"/>
      <c r="E52" s="62"/>
      <c r="F52" s="62"/>
      <c r="G52" s="62"/>
      <c r="H52" s="62"/>
      <c r="I52" s="62"/>
      <c r="J52" s="62"/>
      <c r="K52" s="62"/>
      <c r="L52" s="62"/>
      <c r="M52" s="62"/>
      <c r="N52" s="62"/>
      <c r="O52" s="62"/>
      <c r="P52" s="62"/>
      <c r="R52" s="191"/>
      <c r="S52" s="192"/>
      <c r="U52" s="62"/>
      <c r="V52" s="62"/>
      <c r="W52" s="62"/>
      <c r="X52" s="62"/>
      <c r="Y52" s="62"/>
      <c r="Z52" s="62"/>
      <c r="AA52" s="62"/>
      <c r="AB52" s="62"/>
      <c r="AF52" s="62"/>
      <c r="AG52" s="62"/>
      <c r="AI52" s="191"/>
      <c r="AJ52" s="192"/>
    </row>
    <row r="53" spans="3:36" x14ac:dyDescent="0.25">
      <c r="F53" s="60"/>
      <c r="G53" s="60"/>
      <c r="H53" s="60"/>
      <c r="I53" s="60"/>
      <c r="J53" s="60"/>
      <c r="K53" s="60"/>
      <c r="L53" s="60"/>
      <c r="M53" s="60"/>
      <c r="N53" s="60"/>
      <c r="O53" s="41" t="s">
        <v>2</v>
      </c>
      <c r="P53" s="40">
        <f>AVERAGE(P31:P51)</f>
        <v>450.74080848259308</v>
      </c>
      <c r="Q53" s="133" t="s">
        <v>1</v>
      </c>
      <c r="R53" s="191">
        <f>SUM(R32:R51)</f>
        <v>1116586.9667959812</v>
      </c>
      <c r="S53" s="192">
        <f>1/(E67-1)*(G67-SUMPRODUCT(S32:S51,S32:S51)/G67)</f>
        <v>4.6528555431131009</v>
      </c>
      <c r="U53" s="60"/>
      <c r="V53" s="60"/>
      <c r="W53" s="60"/>
      <c r="X53" s="60"/>
      <c r="Y53" s="60"/>
      <c r="Z53" s="60"/>
      <c r="AA53" s="60"/>
      <c r="AB53" s="60"/>
      <c r="AC53" s="60"/>
      <c r="AD53" s="60"/>
      <c r="AE53" s="60"/>
      <c r="AF53" s="41" t="s">
        <v>2</v>
      </c>
      <c r="AG53" s="40">
        <f>AVERAGE(AG31:AG51)</f>
        <v>608.05191960810066</v>
      </c>
      <c r="AH53" s="133" t="s">
        <v>1</v>
      </c>
      <c r="AI53" s="191">
        <f>SUM(AI32:AI51)</f>
        <v>55079.490308946042</v>
      </c>
      <c r="AJ53" s="192">
        <f>1/(V71-1)*(X71-SUMPRODUCT(AJ32:AJ51,AJ32:AJ51)/X71)</f>
        <v>4.6528555431131009</v>
      </c>
    </row>
    <row r="54" spans="3:36" x14ac:dyDescent="0.25">
      <c r="D54" s="63" t="s">
        <v>2</v>
      </c>
      <c r="E54" s="64">
        <f t="shared" ref="E54:N54" si="7">AVERAGE(E32:E51)</f>
        <v>463.97673275651289</v>
      </c>
      <c r="F54" s="64">
        <f t="shared" si="7"/>
        <v>445.83155738263042</v>
      </c>
      <c r="G54" s="64">
        <f t="shared" si="7"/>
        <v>414.69997342007179</v>
      </c>
      <c r="H54" s="64">
        <f t="shared" si="7"/>
        <v>447.87636166149485</v>
      </c>
      <c r="I54" s="64">
        <f t="shared" si="7"/>
        <v>454.05587812786553</v>
      </c>
      <c r="J54" s="64">
        <f t="shared" si="7"/>
        <v>397.16005707177561</v>
      </c>
      <c r="K54" s="64">
        <f t="shared" si="7"/>
        <v>325.11817295157954</v>
      </c>
      <c r="L54" s="64">
        <f t="shared" si="7"/>
        <v>281.52703187920127</v>
      </c>
      <c r="M54" s="64">
        <f t="shared" si="7"/>
        <v>259.66409626564837</v>
      </c>
      <c r="N54" s="64">
        <f t="shared" si="7"/>
        <v>291.5873642277719</v>
      </c>
      <c r="O54" s="40">
        <f>AVERAGE(E54:N54)</f>
        <v>378.14972257445527</v>
      </c>
      <c r="P54" s="40">
        <f>AVERAGE(E32:N51)</f>
        <v>435.78929691077991</v>
      </c>
      <c r="Q54" s="134">
        <f>STDEV(E54:N54)</f>
        <v>80.241402364342349</v>
      </c>
      <c r="U54" s="63" t="s">
        <v>2</v>
      </c>
      <c r="V54" s="64">
        <f t="shared" ref="V54:AE54" si="8">AVERAGE(V32:V51)</f>
        <v>610.75569795711544</v>
      </c>
      <c r="W54" s="64">
        <f t="shared" si="8"/>
        <v>607.17746925182371</v>
      </c>
      <c r="X54" s="64">
        <f t="shared" si="8"/>
        <v>599.94968083010394</v>
      </c>
      <c r="Y54" s="64">
        <f t="shared" si="8"/>
        <v>607.38156410415581</v>
      </c>
      <c r="Z54" s="64">
        <f t="shared" si="8"/>
        <v>607.74673392396005</v>
      </c>
      <c r="AA54" s="64">
        <f t="shared" si="8"/>
        <v>596.19891758849019</v>
      </c>
      <c r="AB54" s="64">
        <f t="shared" si="8"/>
        <v>578.4188725321759</v>
      </c>
      <c r="AC54" s="64">
        <f t="shared" si="8"/>
        <v>564.02284709594107</v>
      </c>
      <c r="AD54" s="64">
        <f t="shared" si="8"/>
        <v>555.938885830505</v>
      </c>
      <c r="AE54" s="64">
        <f t="shared" si="8"/>
        <v>567.5339666643398</v>
      </c>
      <c r="AF54" s="40">
        <f>AVERAGE(V54:AE54)</f>
        <v>589.51246357786101</v>
      </c>
      <c r="AG54" s="40">
        <f>AVERAGE(V32:AE51)</f>
        <v>604.31128681941232</v>
      </c>
      <c r="AH54" s="134">
        <f>STDEV(V54:AE54)</f>
        <v>20.954428681341895</v>
      </c>
    </row>
    <row r="55" spans="3:36" ht="13.8" thickBot="1" x14ac:dyDescent="0.3">
      <c r="E55" s="43"/>
      <c r="F55" s="43"/>
      <c r="G55" s="43"/>
      <c r="H55" s="43"/>
      <c r="I55" s="43"/>
      <c r="J55" s="43"/>
      <c r="K55" s="43"/>
      <c r="L55" s="43"/>
      <c r="M55" s="43"/>
      <c r="N55" s="43"/>
      <c r="O55" s="130" t="s">
        <v>1</v>
      </c>
      <c r="P55" s="131">
        <f>STDEV(P32:P51)</f>
        <v>108.63786646367591</v>
      </c>
      <c r="Q55" s="132">
        <f>STDEV(E32:N51)</f>
        <v>117.61234424873157</v>
      </c>
      <c r="R55" s="43"/>
      <c r="S55" s="43"/>
      <c r="T55" s="43"/>
      <c r="U55" s="43"/>
      <c r="V55" s="43"/>
      <c r="W55" s="43"/>
      <c r="X55" s="43"/>
      <c r="Y55" s="43"/>
      <c r="AF55" s="130" t="s">
        <v>1</v>
      </c>
      <c r="AG55" s="131">
        <f>STDEV(AG32:AG51)</f>
        <v>23.546709928344534</v>
      </c>
      <c r="AH55" s="132">
        <f>STDEV(V32:AE51)</f>
        <v>26.033397145908651</v>
      </c>
    </row>
    <row r="56" spans="3:36" x14ac:dyDescent="0.25">
      <c r="C56" s="153" t="s">
        <v>24</v>
      </c>
      <c r="D56" s="110"/>
      <c r="E56" s="111"/>
      <c r="F56" s="112" t="s">
        <v>57</v>
      </c>
      <c r="G56" s="112" t="s">
        <v>58</v>
      </c>
      <c r="H56" s="112" t="s">
        <v>74</v>
      </c>
      <c r="I56" s="183" t="s">
        <v>75</v>
      </c>
      <c r="J56" s="65"/>
      <c r="K56" s="65"/>
      <c r="L56" s="65"/>
      <c r="M56" s="65"/>
      <c r="N56" s="65"/>
      <c r="P56" s="65"/>
      <c r="S56" s="172"/>
      <c r="T56" s="112"/>
      <c r="U56" s="102"/>
      <c r="V56" s="154" t="s">
        <v>78</v>
      </c>
      <c r="W56" s="112" t="s">
        <v>57</v>
      </c>
      <c r="X56" s="112" t="s">
        <v>58</v>
      </c>
      <c r="Y56" s="112" t="s">
        <v>74</v>
      </c>
      <c r="Z56" s="113" t="s">
        <v>75</v>
      </c>
      <c r="AA56" s="65"/>
      <c r="AB56" s="65"/>
      <c r="AC56" s="65"/>
      <c r="AD56" s="65"/>
      <c r="AE56" s="65"/>
      <c r="AF56" s="42" t="s">
        <v>54</v>
      </c>
    </row>
    <row r="57" spans="3:36" x14ac:dyDescent="0.25">
      <c r="C57" s="184"/>
      <c r="D57" s="72" t="s">
        <v>65</v>
      </c>
      <c r="E57" s="80">
        <f>SQRT(E75)</f>
        <v>116.63687488170126</v>
      </c>
      <c r="F57" s="80">
        <f>SQRT(F75)</f>
        <v>92.600992316890327</v>
      </c>
      <c r="G57" s="80">
        <f>SQRT(G75)</f>
        <v>159.84038609104502</v>
      </c>
      <c r="H57" s="139"/>
      <c r="I57" s="136">
        <f>SQRT(G57/F57)</f>
        <v>1.3138187018590246</v>
      </c>
      <c r="J57" s="65"/>
      <c r="K57" s="65"/>
      <c r="L57" s="65"/>
      <c r="M57" s="65"/>
      <c r="N57" s="65"/>
      <c r="P57" s="65"/>
      <c r="S57" s="173"/>
      <c r="T57" s="169"/>
      <c r="U57" s="72" t="s">
        <v>79</v>
      </c>
      <c r="V57" s="73">
        <f t="shared" ref="V57:X59" si="9">EXP(V82/100)</f>
        <v>1.2875527065666068</v>
      </c>
      <c r="W57" s="73">
        <f t="shared" si="9"/>
        <v>1.2222083550213125</v>
      </c>
      <c r="X57" s="73">
        <f t="shared" si="9"/>
        <v>1.4139144059452335</v>
      </c>
      <c r="Y57" s="71"/>
      <c r="Z57" s="136">
        <f>SQRT(X57/W57)</f>
        <v>1.0755706322363425</v>
      </c>
      <c r="AA57" s="65"/>
      <c r="AB57" s="65"/>
      <c r="AC57" s="65"/>
      <c r="AD57" s="65"/>
      <c r="AE57" s="65"/>
      <c r="AF57" s="41" t="s">
        <v>2</v>
      </c>
      <c r="AG57" s="40">
        <f>EXP(AG53/100)</f>
        <v>437.2561574775637</v>
      </c>
      <c r="AH57" s="133" t="s">
        <v>55</v>
      </c>
    </row>
    <row r="58" spans="3:36" x14ac:dyDescent="0.25">
      <c r="C58" s="185"/>
      <c r="D58" s="75" t="s">
        <v>63</v>
      </c>
      <c r="E58" s="81">
        <f>IFERROR(SQRT(E76),-SQRT(-E76))</f>
        <v>106.34321936389249</v>
      </c>
      <c r="F58" s="81">
        <f>IFERROR(SQRT(F76),-SQRT(-F76))</f>
        <v>70.775006926373024</v>
      </c>
      <c r="G58" s="81">
        <f>IFERROR(SQRT(G76),-SQRT(-G76))</f>
        <v>132.6976224501621</v>
      </c>
      <c r="H58" s="81">
        <f>(G58-F58)/2</f>
        <v>30.961307761894538</v>
      </c>
      <c r="I58" s="190"/>
      <c r="J58" s="65"/>
      <c r="K58" s="65"/>
      <c r="L58" s="65"/>
      <c r="M58" s="65"/>
      <c r="N58" s="65"/>
      <c r="P58" s="65"/>
      <c r="S58" s="174"/>
      <c r="T58" s="170"/>
      <c r="U58" s="75" t="s">
        <v>82</v>
      </c>
      <c r="V58" s="76">
        <f t="shared" si="9"/>
        <v>1.2592445242973416</v>
      </c>
      <c r="W58" s="76">
        <f t="shared" si="9"/>
        <v>1.1658250667425691</v>
      </c>
      <c r="X58" s="76">
        <f t="shared" si="9"/>
        <v>1.3332639866812832</v>
      </c>
      <c r="Y58" s="74"/>
      <c r="Z58" s="123">
        <f t="shared" ref="Z58:Z59" si="10">SQRT(X58/W58)</f>
        <v>1.0694029547001174</v>
      </c>
      <c r="AA58" s="65"/>
      <c r="AB58" s="65"/>
      <c r="AC58" s="65"/>
      <c r="AD58" s="65"/>
      <c r="AE58" s="65"/>
      <c r="AF58" s="40">
        <f>EXP(AF54/100)</f>
        <v>363.26210853328291</v>
      </c>
      <c r="AG58" s="40">
        <f>EXP(AG54/100)</f>
        <v>421.20214304338026</v>
      </c>
      <c r="AH58" s="134">
        <f>100*EXP(AH54/100)-100</f>
        <v>23.311598467911068</v>
      </c>
    </row>
    <row r="59" spans="3:36" x14ac:dyDescent="0.25">
      <c r="C59" s="186"/>
      <c r="D59" s="82" t="s">
        <v>61</v>
      </c>
      <c r="E59" s="140">
        <f>SQRT(H70)</f>
        <v>47.909083454942831</v>
      </c>
      <c r="F59" s="140">
        <f>SQRT(H68*E59^2/CHIINV((100-$D$21)/100/2,H68))</f>
        <v>42.265478120082918</v>
      </c>
      <c r="G59" s="140">
        <f>SQRT(H68*E59^2/CHIINV(1-(100-$D$21)/100/2,H68))</f>
        <v>55.47618026310159</v>
      </c>
      <c r="H59" s="141"/>
      <c r="I59" s="142">
        <f>SQRT(G59/F59)</f>
        <v>1.1456722191686675</v>
      </c>
      <c r="J59" s="66"/>
      <c r="K59" s="66"/>
      <c r="L59" s="66"/>
      <c r="M59" s="66"/>
      <c r="N59" s="66"/>
      <c r="P59" s="66"/>
      <c r="S59" s="175"/>
      <c r="T59" s="90"/>
      <c r="U59" s="78" t="s">
        <v>80</v>
      </c>
      <c r="V59" s="79">
        <f t="shared" si="9"/>
        <v>1.1092126209092097</v>
      </c>
      <c r="W59" s="79">
        <f t="shared" si="9"/>
        <v>1.0957516626313</v>
      </c>
      <c r="X59" s="79">
        <f t="shared" si="9"/>
        <v>1.1275213034380536</v>
      </c>
      <c r="Y59" s="77"/>
      <c r="Z59" s="138">
        <f t="shared" si="10"/>
        <v>1.014393152597544</v>
      </c>
      <c r="AA59" s="66"/>
      <c r="AB59" s="66"/>
      <c r="AC59" s="66"/>
      <c r="AD59" s="66"/>
      <c r="AE59" s="66"/>
      <c r="AF59" s="130" t="s">
        <v>55</v>
      </c>
      <c r="AG59" s="131">
        <f>100*EXP(AG55/100)-100</f>
        <v>26.549974472387646</v>
      </c>
      <c r="AH59" s="132">
        <f>100*EXP(AH55/100)-100</f>
        <v>29.73632966350047</v>
      </c>
    </row>
    <row r="60" spans="3:36" ht="13.8" thickBot="1" x14ac:dyDescent="0.3">
      <c r="C60" s="187"/>
      <c r="D60" s="117" t="s">
        <v>56</v>
      </c>
      <c r="E60" s="151">
        <f>(E74-1)/(E74+S53-1)</f>
        <v>0.84096381877552173</v>
      </c>
      <c r="F60" s="151">
        <f>(F74-1)/(F74+S53-1)</f>
        <v>0.74798770079545951</v>
      </c>
      <c r="G60" s="151">
        <f>(G74-1)/(G74+S53-1)</f>
        <v>0.91362294016929579</v>
      </c>
      <c r="H60" s="151">
        <f>(G60-F60)/2</f>
        <v>8.2817619686918142E-2</v>
      </c>
      <c r="I60" s="152"/>
      <c r="J60" s="43"/>
      <c r="K60" s="43"/>
      <c r="L60" s="43"/>
      <c r="M60" s="66"/>
      <c r="N60" s="66"/>
      <c r="P60" s="66"/>
      <c r="S60" s="173"/>
      <c r="T60" s="169"/>
      <c r="U60" s="72" t="s">
        <v>119</v>
      </c>
      <c r="V60" s="80">
        <f t="shared" ref="V60:X62" si="11">100*V57-100</f>
        <v>28.755270656660684</v>
      </c>
      <c r="W60" s="80">
        <f t="shared" si="11"/>
        <v>22.220835502131251</v>
      </c>
      <c r="X60" s="80">
        <f t="shared" si="11"/>
        <v>41.391440594523345</v>
      </c>
      <c r="Y60" s="139"/>
      <c r="Z60" s="136">
        <f>SQRT(X60/W60)</f>
        <v>1.3648190596742951</v>
      </c>
      <c r="AA60" s="66"/>
      <c r="AB60" s="66"/>
      <c r="AC60" s="66"/>
    </row>
    <row r="61" spans="3:36" x14ac:dyDescent="0.25">
      <c r="C61" s="182"/>
      <c r="D61" s="127"/>
      <c r="E61" s="99" t="s">
        <v>59</v>
      </c>
      <c r="F61" s="100">
        <v>2</v>
      </c>
      <c r="G61" s="101" t="s">
        <v>60</v>
      </c>
      <c r="H61" s="112"/>
      <c r="I61" s="188"/>
      <c r="J61" s="43"/>
      <c r="K61" s="43"/>
      <c r="L61" s="43"/>
      <c r="S61" s="174"/>
      <c r="T61" s="170"/>
      <c r="U61" s="75" t="s">
        <v>120</v>
      </c>
      <c r="V61" s="81">
        <f t="shared" si="11"/>
        <v>25.92445242973416</v>
      </c>
      <c r="W61" s="81">
        <f t="shared" si="11"/>
        <v>16.582506674256919</v>
      </c>
      <c r="X61" s="81">
        <f t="shared" si="11"/>
        <v>33.32639866812832</v>
      </c>
      <c r="Y61" s="81">
        <f>(X61-W61)/2</f>
        <v>8.3719459969357004</v>
      </c>
      <c r="Z61" s="190"/>
      <c r="AA61" s="66"/>
      <c r="AB61" s="66"/>
    </row>
    <row r="62" spans="3:36" x14ac:dyDescent="0.25">
      <c r="C62" s="189"/>
      <c r="D62" s="87"/>
      <c r="E62" s="86"/>
      <c r="F62" s="86" t="s">
        <v>57</v>
      </c>
      <c r="G62" s="86" t="s">
        <v>58</v>
      </c>
      <c r="H62" s="86" t="s">
        <v>74</v>
      </c>
      <c r="I62" s="104" t="s">
        <v>75</v>
      </c>
      <c r="J62" s="43"/>
      <c r="K62" s="43"/>
      <c r="L62" s="43"/>
      <c r="S62" s="175"/>
      <c r="T62" s="90"/>
      <c r="U62" s="82" t="s">
        <v>123</v>
      </c>
      <c r="V62" s="140">
        <f t="shared" si="11"/>
        <v>10.921262090920976</v>
      </c>
      <c r="W62" s="140">
        <f t="shared" si="11"/>
        <v>9.5751662631300007</v>
      </c>
      <c r="X62" s="140">
        <f t="shared" si="11"/>
        <v>12.752130343805362</v>
      </c>
      <c r="Y62" s="141"/>
      <c r="Z62" s="142">
        <f>SQRT(X62/W62)</f>
        <v>1.1540329518167358</v>
      </c>
      <c r="AA62" s="44"/>
      <c r="AB62" s="66"/>
    </row>
    <row r="63" spans="3:36" ht="13.8" thickBot="1" x14ac:dyDescent="0.3">
      <c r="C63" s="185"/>
      <c r="D63" s="83" t="s">
        <v>61</v>
      </c>
      <c r="E63" s="84">
        <f>E59/SQRT(F61)</f>
        <v>33.876837791422304</v>
      </c>
      <c r="F63" s="84">
        <f>F59/SQRT(F61)</f>
        <v>29.88620618880228</v>
      </c>
      <c r="G63" s="84">
        <f>G59/SQRT(F61)</f>
        <v>39.227583258366437</v>
      </c>
      <c r="H63" s="92"/>
      <c r="I63" s="123">
        <f>SQRT(G63/F63)</f>
        <v>1.1456722191686675</v>
      </c>
      <c r="J63" s="43"/>
      <c r="K63" s="43"/>
      <c r="L63" s="43"/>
      <c r="S63" s="176"/>
      <c r="T63" s="177"/>
      <c r="U63" s="117" t="s">
        <v>56</v>
      </c>
      <c r="V63" s="151">
        <f>(V78-1)/(V78+AJ53-1)</f>
        <v>0.84812509136882408</v>
      </c>
      <c r="W63" s="151">
        <f>(W78-1)/(W78+AJ53-1)</f>
        <v>0.75842832625866119</v>
      </c>
      <c r="X63" s="151">
        <f>(X78-1)/(X78+AJ53-1)</f>
        <v>0.91775382825643304</v>
      </c>
      <c r="Y63" s="151">
        <f>(X63-W63)/2</f>
        <v>7.9662750998885923E-2</v>
      </c>
      <c r="Z63" s="152"/>
      <c r="AA63" s="44"/>
      <c r="AB63" s="66"/>
    </row>
    <row r="64" spans="3:36" ht="13.8" thickBot="1" x14ac:dyDescent="0.3">
      <c r="C64" s="180"/>
      <c r="D64" s="107" t="s">
        <v>56</v>
      </c>
      <c r="E64" s="108">
        <f>IF(E74&lt;1,"~0.0",(E74-1)/(E74-1+$S$53/$F$61))</f>
        <v>0.9136125438194338</v>
      </c>
      <c r="F64" s="108">
        <f>IF(F74&lt;1,"?",(F74-1)/(F74-1+$S$53/$F$61))</f>
        <v>0.85582718969369365</v>
      </c>
      <c r="G64" s="108">
        <f>IF(E74&lt;1,"?",(G74-1)/(G74-1+$S$53/$F$61))</f>
        <v>0.95486202740490622</v>
      </c>
      <c r="H64" s="126">
        <f>IF(F74&lt;1,"?",(G64-F64)/2)</f>
        <v>4.9517418855606288E-2</v>
      </c>
      <c r="I64" s="129"/>
      <c r="J64" s="43"/>
      <c r="K64" s="43"/>
      <c r="L64" s="43"/>
      <c r="S64" s="172"/>
      <c r="T64" s="112"/>
      <c r="U64" s="127"/>
      <c r="V64" s="99" t="s">
        <v>59</v>
      </c>
      <c r="W64" s="100">
        <v>2</v>
      </c>
      <c r="X64" s="101" t="s">
        <v>60</v>
      </c>
      <c r="Y64" s="112"/>
      <c r="Z64" s="178"/>
      <c r="AA64" s="44"/>
      <c r="AB64" s="66"/>
    </row>
    <row r="65" spans="1:28" x14ac:dyDescent="0.25">
      <c r="D65" s="2"/>
      <c r="E65" s="38" t="s">
        <v>47</v>
      </c>
      <c r="F65" s="38"/>
      <c r="G65" s="2"/>
      <c r="H65" s="2"/>
      <c r="I65" s="65"/>
      <c r="J65" s="43"/>
      <c r="K65" s="43"/>
      <c r="L65" s="43"/>
      <c r="S65" s="179"/>
      <c r="T65" s="86"/>
      <c r="U65" s="86"/>
      <c r="V65" s="86"/>
      <c r="W65" s="86" t="s">
        <v>57</v>
      </c>
      <c r="X65" s="86" t="s">
        <v>58</v>
      </c>
      <c r="Y65" s="86" t="s">
        <v>74</v>
      </c>
      <c r="Z65" s="104" t="s">
        <v>75</v>
      </c>
      <c r="AA65" s="44"/>
      <c r="AB65" s="66"/>
    </row>
    <row r="66" spans="1:28" x14ac:dyDescent="0.25">
      <c r="D66"/>
      <c r="E66" s="38" t="s">
        <v>49</v>
      </c>
      <c r="F66" s="38"/>
      <c r="G66" s="2" t="s">
        <v>28</v>
      </c>
      <c r="H66" s="2" t="s">
        <v>29</v>
      </c>
      <c r="I66" s="65"/>
      <c r="J66" s="43"/>
      <c r="K66" s="43"/>
      <c r="L66" s="43"/>
      <c r="S66" s="173"/>
      <c r="T66" s="169"/>
      <c r="U66" s="72" t="s">
        <v>80</v>
      </c>
      <c r="V66" s="171">
        <f>EXP(V85/100)</f>
        <v>1.0760445992141565</v>
      </c>
      <c r="W66" s="171">
        <f>EXP(W85/100)</f>
        <v>1.0667943878083193</v>
      </c>
      <c r="X66" s="171">
        <f>EXP(X85/100)</f>
        <v>1.0885735271800248</v>
      </c>
      <c r="Y66" s="139"/>
      <c r="Z66" s="136">
        <f>SQRT(X66/W66)</f>
        <v>1.0101561753701034</v>
      </c>
      <c r="AA66" s="44"/>
      <c r="AB66" s="66"/>
    </row>
    <row r="67" spans="1:28" x14ac:dyDescent="0.25">
      <c r="D67" s="1" t="s">
        <v>0</v>
      </c>
      <c r="E67" s="2">
        <f>COUNT(P32:P51)</f>
        <v>20</v>
      </c>
      <c r="F67" s="2"/>
      <c r="G67" s="2">
        <f>COUNT(E32:N51)</f>
        <v>94</v>
      </c>
      <c r="H67" s="2"/>
      <c r="J67" s="43"/>
      <c r="K67" s="43"/>
      <c r="L67" s="43"/>
      <c r="S67" s="174"/>
      <c r="T67" s="170"/>
      <c r="U67" s="83" t="s">
        <v>123</v>
      </c>
      <c r="V67" s="84">
        <f>100*V66-100</f>
        <v>7.6044599214156534</v>
      </c>
      <c r="W67" s="84">
        <f t="shared" ref="W67:X67" si="12">100*W66-100</f>
        <v>6.67943878083193</v>
      </c>
      <c r="X67" s="84">
        <f t="shared" si="12"/>
        <v>8.857352718002474</v>
      </c>
      <c r="Y67" s="92"/>
      <c r="Z67" s="123">
        <f>SQRT(X67/W67)</f>
        <v>1.151547834272596</v>
      </c>
      <c r="AA67" s="44"/>
      <c r="AB67" s="66"/>
    </row>
    <row r="68" spans="1:28" ht="13.8" thickBot="1" x14ac:dyDescent="0.3">
      <c r="D68" s="1" t="s">
        <v>30</v>
      </c>
      <c r="E68" s="2">
        <f>E67-1</f>
        <v>19</v>
      </c>
      <c r="F68" s="2"/>
      <c r="G68" s="2">
        <f>G67-1</f>
        <v>93</v>
      </c>
      <c r="H68" s="2">
        <f>G68-E68</f>
        <v>74</v>
      </c>
      <c r="I68" s="66"/>
      <c r="S68" s="180"/>
      <c r="T68" s="181"/>
      <c r="U68" s="107" t="s">
        <v>56</v>
      </c>
      <c r="V68" s="108">
        <f>IF(V78&lt;1,"~0.0",(V78-1)/(V78-1+$AJ$53/$W$64))</f>
        <v>0.91782217051190573</v>
      </c>
      <c r="W68" s="108">
        <f>IF(W78&lt;1,"?",(W78-1)/(W78-1+$AJ$53/$W$64))</f>
        <v>0.86262068795529401</v>
      </c>
      <c r="X68" s="108">
        <f>IF(V78&lt;1,"?",(X78-1)/(X78-1+$AJ$53/$W$64))</f>
        <v>0.95711327985284589</v>
      </c>
      <c r="Y68" s="126">
        <f>IF(W78&lt;1,"?",(X68-W68)/2)</f>
        <v>4.724629594877594E-2</v>
      </c>
      <c r="Z68" s="129"/>
      <c r="AA68" s="44"/>
      <c r="AB68" s="66"/>
    </row>
    <row r="69" spans="1:28" x14ac:dyDescent="0.25">
      <c r="D69" s="1" t="s">
        <v>27</v>
      </c>
      <c r="E69" s="2">
        <f>R53</f>
        <v>1116586.9667959812</v>
      </c>
      <c r="F69" s="6"/>
      <c r="G69" s="2">
        <f>Q55^2*G68</f>
        <v>1286437.7073304392</v>
      </c>
      <c r="H69" s="2">
        <f>G69-E69-F69</f>
        <v>169850.74053445808</v>
      </c>
      <c r="I69" s="43"/>
      <c r="U69" s="2"/>
      <c r="V69" s="38" t="s">
        <v>47</v>
      </c>
      <c r="W69" s="38"/>
      <c r="X69" s="2"/>
      <c r="Y69" s="2"/>
      <c r="Z69" s="65"/>
      <c r="AA69" s="44"/>
      <c r="AB69" s="66"/>
    </row>
    <row r="70" spans="1:28" x14ac:dyDescent="0.25">
      <c r="D70" s="31" t="s">
        <v>50</v>
      </c>
      <c r="E70" s="69">
        <f>P55^2-H70/S53</f>
        <v>11308.880304676959</v>
      </c>
      <c r="F70" s="6"/>
      <c r="G70" s="6"/>
      <c r="H70" s="6">
        <f>H69/H68</f>
        <v>2295.2802774926768</v>
      </c>
      <c r="I70" s="43"/>
      <c r="U70"/>
      <c r="V70" s="38" t="s">
        <v>49</v>
      </c>
      <c r="W70" s="38"/>
      <c r="X70" s="2" t="s">
        <v>28</v>
      </c>
      <c r="Y70" s="2" t="s">
        <v>29</v>
      </c>
      <c r="Z70" s="65"/>
      <c r="AA70" s="44"/>
      <c r="AB70" s="66"/>
    </row>
    <row r="71" spans="1:28" x14ac:dyDescent="0.25">
      <c r="D71" s="31" t="s">
        <v>51</v>
      </c>
      <c r="E71" s="2">
        <f>2*P55^4/(E67-1)+1/S53^2*2*H70^2/H68</f>
        <v>14668850.208054876</v>
      </c>
      <c r="F71" s="6"/>
      <c r="G71" s="6"/>
      <c r="H71" s="2">
        <f>2*H70^2/H68</f>
        <v>142386.79870937456</v>
      </c>
      <c r="I71" s="43"/>
      <c r="U71" s="1" t="s">
        <v>0</v>
      </c>
      <c r="V71" s="2">
        <f>COUNT(AG32:AG51)</f>
        <v>20</v>
      </c>
      <c r="W71" s="2"/>
      <c r="X71" s="2">
        <f>COUNT(V32:AE51)</f>
        <v>94</v>
      </c>
      <c r="Y71" s="2"/>
      <c r="Z71" s="65"/>
      <c r="AA71" s="44"/>
      <c r="AB71" s="66"/>
    </row>
    <row r="72" spans="1:28" x14ac:dyDescent="0.25">
      <c r="D72" s="39" t="s">
        <v>52</v>
      </c>
      <c r="E72" s="69">
        <f>SQRT(E71)</f>
        <v>3829.9934997405512</v>
      </c>
      <c r="F72" s="69"/>
      <c r="G72" s="69"/>
      <c r="H72" s="69">
        <f>SQRT(H71)</f>
        <v>377.34175320175552</v>
      </c>
      <c r="I72" s="43"/>
      <c r="U72" s="1" t="s">
        <v>30</v>
      </c>
      <c r="V72" s="2">
        <f>V71-1</f>
        <v>19</v>
      </c>
      <c r="W72" s="2"/>
      <c r="X72" s="2">
        <f>X71-1</f>
        <v>93</v>
      </c>
      <c r="Y72" s="2">
        <f>X72-V72</f>
        <v>74</v>
      </c>
      <c r="Z72" s="66"/>
      <c r="AA72" s="44"/>
      <c r="AB72" s="66"/>
    </row>
    <row r="73" spans="1:28" x14ac:dyDescent="0.25">
      <c r="D73" s="2"/>
      <c r="E73" s="2"/>
      <c r="F73" s="44" t="s">
        <v>57</v>
      </c>
      <c r="G73" s="44" t="s">
        <v>58</v>
      </c>
      <c r="U73" s="1" t="s">
        <v>27</v>
      </c>
      <c r="V73" s="2">
        <f>AI53</f>
        <v>55079.490308946042</v>
      </c>
      <c r="W73" s="2"/>
      <c r="X73" s="2">
        <f>AH55^2*X72</f>
        <v>63029.612326964234</v>
      </c>
      <c r="Y73" s="2">
        <f>X73-V73-W73</f>
        <v>7950.1220180181917</v>
      </c>
      <c r="Z73" s="66"/>
      <c r="AA73" s="44"/>
      <c r="AB73" s="66"/>
    </row>
    <row r="74" spans="1:28" x14ac:dyDescent="0.25">
      <c r="D74" s="45" t="s">
        <v>66</v>
      </c>
      <c r="E74" s="5">
        <f>E69/E68/(H69/H68)</f>
        <v>25.603729387995333</v>
      </c>
      <c r="F74" s="67">
        <f>E74/FINV((1-$D$21/100)/2,E68,H68)</f>
        <v>14.809955826806224</v>
      </c>
      <c r="G74" s="67">
        <f>E74*FINV((1-$D$21/100)/2,H68,E68)</f>
        <v>50.213941407749999</v>
      </c>
      <c r="H74" s="2"/>
      <c r="I74" s="43"/>
      <c r="U74" s="222" t="s">
        <v>50</v>
      </c>
      <c r="V74" s="223">
        <f>AG55^2-Y74/AJ53</f>
        <v>531.35762435264564</v>
      </c>
      <c r="W74" s="223"/>
      <c r="X74" s="223"/>
      <c r="Y74" s="223">
        <f>Y73/Y72</f>
        <v>107.43408132457016</v>
      </c>
      <c r="Z74" s="225" t="s">
        <v>148</v>
      </c>
      <c r="AB74" s="66"/>
    </row>
    <row r="75" spans="1:28" x14ac:dyDescent="0.25">
      <c r="D75" s="31" t="s">
        <v>71</v>
      </c>
      <c r="E75" s="6">
        <f>E70+H70</f>
        <v>13604.160582169636</v>
      </c>
      <c r="F75" s="60">
        <f>E68*E75/CHIINV((100-$D$21)/100/2,E68)</f>
        <v>8574.9437780727803</v>
      </c>
      <c r="G75" s="60">
        <f>E68*E75/CHIINV(1-(100-$D$21)/100/2,E68)</f>
        <v>25548.949025734335</v>
      </c>
      <c r="H75" s="2"/>
      <c r="I75" s="43"/>
      <c r="U75" s="31" t="s">
        <v>51</v>
      </c>
      <c r="V75" s="5">
        <f>2*AG55^4/(V71-1)+1/AJ53^2*2*Y74^2/Y72</f>
        <v>32373.576048296261</v>
      </c>
      <c r="W75" s="5"/>
      <c r="X75" s="5"/>
      <c r="Y75" s="5">
        <f>2*Y74^2/Y72</f>
        <v>311.9481575690366</v>
      </c>
      <c r="Z75" s="44"/>
      <c r="AB75" s="66"/>
    </row>
    <row r="76" spans="1:28" x14ac:dyDescent="0.25">
      <c r="A76" s="44"/>
      <c r="B76" s="44"/>
      <c r="D76" s="31" t="s">
        <v>73</v>
      </c>
      <c r="E76" s="6">
        <f>E70</f>
        <v>11308.880304676959</v>
      </c>
      <c r="F76" s="60">
        <f>E70+NORMSINV((100-$D$21)/100/2)*E72</f>
        <v>5009.101605428149</v>
      </c>
      <c r="G76" s="60">
        <f>E70-NORMSINV((100-$D$21)/100/2)*E72</f>
        <v>17608.659003925768</v>
      </c>
      <c r="H76" s="2"/>
      <c r="I76" s="43"/>
      <c r="U76" s="222" t="s">
        <v>52</v>
      </c>
      <c r="V76" s="223">
        <f>SQRT(V75)</f>
        <v>179.9265851626609</v>
      </c>
      <c r="W76" s="223"/>
      <c r="X76" s="223"/>
      <c r="Y76" s="223">
        <f>SQRT(Y75)</f>
        <v>17.662054171840733</v>
      </c>
      <c r="Z76" s="52" t="s">
        <v>149</v>
      </c>
      <c r="AB76" s="66"/>
    </row>
    <row r="77" spans="1:28" x14ac:dyDescent="0.25">
      <c r="A77" s="2"/>
      <c r="B77" s="2"/>
      <c r="C77" s="2"/>
      <c r="D77" s="2"/>
      <c r="U77" s="2"/>
      <c r="V77" s="2"/>
      <c r="W77" s="44" t="s">
        <v>57</v>
      </c>
      <c r="X77" s="44" t="s">
        <v>58</v>
      </c>
      <c r="Y77" s="2"/>
      <c r="Z77" s="44"/>
      <c r="AB77" s="66"/>
    </row>
    <row r="78" spans="1:28" x14ac:dyDescent="0.25">
      <c r="A78" s="2"/>
      <c r="B78" s="2"/>
      <c r="C78" s="2"/>
      <c r="D78" s="2"/>
      <c r="U78" s="45" t="s">
        <v>66</v>
      </c>
      <c r="V78" s="5">
        <f>V73/V72/(Y73/Y72)</f>
        <v>26.983248768313569</v>
      </c>
      <c r="W78" s="67">
        <f>V78/FINV((1-$D$21/100)/2,V72,Y72)</f>
        <v>15.607910717483804</v>
      </c>
      <c r="X78" s="67">
        <f>V78*FINV((1-$D$21/100)/2,Y72,V72)</f>
        <v>52.919449823513609</v>
      </c>
      <c r="Y78" s="2"/>
      <c r="Z78" s="44"/>
      <c r="AB78" s="66"/>
    </row>
    <row r="79" spans="1:28" x14ac:dyDescent="0.25">
      <c r="A79" s="2"/>
      <c r="B79" s="2"/>
      <c r="C79" s="2"/>
      <c r="D79" s="2"/>
      <c r="U79" s="31" t="s">
        <v>71</v>
      </c>
      <c r="V79" s="5">
        <f>V74+Y74</f>
        <v>638.79170567721576</v>
      </c>
      <c r="W79" s="60">
        <f>V72*V79/CHIINV((100-$D$21)/100/2,V72)</f>
        <v>402.64174544224278</v>
      </c>
      <c r="X79" s="44">
        <f>V72*V79/CHIINV(1-(100-$D$21)/100/2,V72)</f>
        <v>1199.6665746359658</v>
      </c>
      <c r="Y79" s="2"/>
      <c r="AB79" s="66"/>
    </row>
    <row r="80" spans="1:28" x14ac:dyDescent="0.25">
      <c r="A80" s="2"/>
      <c r="B80" s="2"/>
      <c r="C80" s="2"/>
      <c r="D80" s="2"/>
      <c r="U80" s="31" t="s">
        <v>73</v>
      </c>
      <c r="V80" s="5">
        <f>V74</f>
        <v>531.35762435264564</v>
      </c>
      <c r="W80" s="44">
        <f>V74+NORMSINV((100-$D$21)/100/2)*V76</f>
        <v>235.40472816284984</v>
      </c>
      <c r="X80" s="44">
        <f>V74-NORMSINV((100-$D$21)/100/2)*V76</f>
        <v>827.31052054244151</v>
      </c>
      <c r="Y80" s="2"/>
      <c r="Z80" s="44"/>
      <c r="AA80" s="44"/>
      <c r="AB80" s="66"/>
    </row>
    <row r="81" spans="1:34" x14ac:dyDescent="0.25">
      <c r="A81" s="2"/>
      <c r="B81" s="2"/>
      <c r="C81" s="2"/>
      <c r="D81" s="2"/>
      <c r="U81" s="31"/>
      <c r="V81" s="5"/>
      <c r="W81" s="44" t="s">
        <v>57</v>
      </c>
      <c r="X81" s="44" t="s">
        <v>58</v>
      </c>
      <c r="Y81" s="2"/>
      <c r="Z81" s="44"/>
      <c r="AA81" s="44"/>
      <c r="AB81" s="66"/>
    </row>
    <row r="82" spans="1:34" x14ac:dyDescent="0.25">
      <c r="A82" s="2"/>
      <c r="B82" s="2"/>
      <c r="C82" s="2"/>
      <c r="D82" s="2"/>
      <c r="U82" s="31" t="s">
        <v>65</v>
      </c>
      <c r="V82" s="5">
        <f>SQRT(V79)</f>
        <v>25.274328985696449</v>
      </c>
      <c r="W82" s="5">
        <f>SQRT(W79)</f>
        <v>20.065934950613261</v>
      </c>
      <c r="X82" s="5">
        <f>SQRT(X79)</f>
        <v>34.63620323643984</v>
      </c>
      <c r="Y82" s="65"/>
      <c r="Z82" s="44"/>
      <c r="AA82" s="44"/>
      <c r="AB82" s="66"/>
    </row>
    <row r="83" spans="1:34" x14ac:dyDescent="0.25">
      <c r="A83" s="2"/>
      <c r="B83" s="2"/>
      <c r="C83" s="2"/>
      <c r="D83" s="2"/>
      <c r="U83" s="31" t="s">
        <v>63</v>
      </c>
      <c r="V83" s="67">
        <f>IFERROR(SQRT(V80),-SQRT(-V80))</f>
        <v>23.051195725008402</v>
      </c>
      <c r="W83" s="67">
        <f>IFERROR(SQRT(W80),-SQRT(-W80))</f>
        <v>15.3429048150228</v>
      </c>
      <c r="X83" s="67">
        <f>IFERROR(SQRT(X80),-SQRT(-X80))</f>
        <v>28.763006111017699</v>
      </c>
      <c r="Y83" s="2"/>
      <c r="Z83" s="44"/>
      <c r="AA83" s="66"/>
      <c r="AB83" s="66"/>
    </row>
    <row r="84" spans="1:34" x14ac:dyDescent="0.25">
      <c r="U84" s="45" t="s">
        <v>61</v>
      </c>
      <c r="V84" s="65">
        <f>SQRT(Y74)</f>
        <v>10.365041308387061</v>
      </c>
      <c r="W84" s="65">
        <f>SQRT(Y72*V84^2/CHIINV((100-$D$21)/100/2,Y72))</f>
        <v>9.1440577661101443</v>
      </c>
      <c r="X84" s="65">
        <f>SQRT(Y72*V84^2/CHIINV(1-(100-$D$21)/100/2,Y72))</f>
        <v>12.002168661802072</v>
      </c>
      <c r="Y84" s="2"/>
      <c r="Z84" s="44"/>
      <c r="AA84" s="66"/>
      <c r="AB84" s="66"/>
    </row>
    <row r="85" spans="1:34" x14ac:dyDescent="0.25">
      <c r="A85" s="2"/>
      <c r="B85" s="2"/>
      <c r="C85" s="2"/>
      <c r="D85" s="2"/>
      <c r="U85" s="45" t="str">
        <f>"Error for mean of "&amp;W64&amp;" trials"</f>
        <v>Error for mean of 2 trials</v>
      </c>
      <c r="V85" s="65">
        <f>V84/SQRT(W64)</f>
        <v>7.3291909964391753</v>
      </c>
      <c r="W85" s="65">
        <f>W84/SQRT(W64)</f>
        <v>6.4658252539779957</v>
      </c>
      <c r="X85" s="65">
        <f>X84/SQRT(W64)</f>
        <v>8.4868148497049152</v>
      </c>
      <c r="Y85" s="2"/>
      <c r="Z85" s="52" t="s">
        <v>150</v>
      </c>
      <c r="AA85" s="66"/>
      <c r="AB85" s="66"/>
      <c r="AC85" s="66"/>
    </row>
    <row r="86" spans="1:34" ht="13.8" thickBot="1" x14ac:dyDescent="0.3">
      <c r="A86" s="2"/>
      <c r="B86" s="2"/>
      <c r="C86" s="2"/>
      <c r="D86" s="2"/>
      <c r="R86" s="43"/>
      <c r="S86" s="43"/>
      <c r="T86" s="43"/>
      <c r="X86" s="66"/>
      <c r="Y86" s="66"/>
      <c r="Z86" s="271" t="s">
        <v>145</v>
      </c>
      <c r="AA86" s="271"/>
      <c r="AB86" s="271"/>
      <c r="AC86" s="271"/>
      <c r="AD86" s="271"/>
      <c r="AE86" s="271"/>
      <c r="AF86" s="271"/>
      <c r="AG86" s="271"/>
      <c r="AH86" s="226"/>
    </row>
    <row r="87" spans="1:34" ht="14.4" thickTop="1" thickBot="1" x14ac:dyDescent="0.3">
      <c r="D87" s="44"/>
      <c r="S87" s="43"/>
      <c r="X87" s="66"/>
      <c r="Y87" s="66"/>
      <c r="Z87" s="272" t="s">
        <v>133</v>
      </c>
      <c r="AA87" s="273"/>
      <c r="AB87" s="276" t="s">
        <v>134</v>
      </c>
      <c r="AC87" s="278" t="s">
        <v>135</v>
      </c>
      <c r="AD87" s="278" t="s">
        <v>136</v>
      </c>
      <c r="AE87" s="278" t="s">
        <v>137</v>
      </c>
      <c r="AF87" s="278" t="s">
        <v>138</v>
      </c>
      <c r="AG87" s="280"/>
      <c r="AH87" s="264"/>
    </row>
    <row r="88" spans="1:34" ht="14.4" thickTop="1" thickBot="1" x14ac:dyDescent="0.3">
      <c r="X88" s="66"/>
      <c r="Y88" s="66"/>
      <c r="Z88" s="274"/>
      <c r="AA88" s="275"/>
      <c r="AB88" s="277"/>
      <c r="AC88" s="279"/>
      <c r="AD88" s="279"/>
      <c r="AE88" s="279"/>
      <c r="AF88" s="263" t="s">
        <v>139</v>
      </c>
      <c r="AG88" s="228" t="s">
        <v>140</v>
      </c>
      <c r="AH88" s="264"/>
    </row>
    <row r="89" spans="1:34" ht="14.4" thickTop="1" thickBot="1" x14ac:dyDescent="0.3">
      <c r="X89" s="66"/>
      <c r="Y89" s="66"/>
      <c r="Z89" s="267" t="s">
        <v>141</v>
      </c>
      <c r="AA89" s="268"/>
      <c r="AB89" s="229">
        <v>107.28676599823854</v>
      </c>
      <c r="AC89" s="230">
        <v>17.612353891081447</v>
      </c>
      <c r="AD89" s="231">
        <v>6.0915631528711485</v>
      </c>
      <c r="AE89" s="232">
        <v>1.1181345882588188E-9</v>
      </c>
      <c r="AF89" s="230">
        <v>81.898748172776465</v>
      </c>
      <c r="AG89" s="233">
        <v>140.54488518039312</v>
      </c>
      <c r="AH89" s="264"/>
    </row>
    <row r="90" spans="1:34" ht="26.4" thickTop="1" thickBot="1" x14ac:dyDescent="0.3">
      <c r="X90" s="66"/>
      <c r="Y90" s="66"/>
      <c r="Z90" s="234" t="s">
        <v>142</v>
      </c>
      <c r="AA90" s="235" t="s">
        <v>143</v>
      </c>
      <c r="AB90" s="236">
        <v>531.12730869116956</v>
      </c>
      <c r="AC90" s="237">
        <v>180.70616828363944</v>
      </c>
      <c r="AD90" s="238">
        <v>2.939176419575801</v>
      </c>
      <c r="AE90" s="239">
        <v>3.2908569678517441E-3</v>
      </c>
      <c r="AF90" s="237">
        <v>303.49676559104785</v>
      </c>
      <c r="AG90" s="240">
        <v>929.48673600574818</v>
      </c>
      <c r="AH90" s="264"/>
    </row>
    <row r="91" spans="1:34" ht="13.8" thickTop="1" x14ac:dyDescent="0.25">
      <c r="X91" s="66"/>
      <c r="Y91" s="66"/>
      <c r="Z91" s="269" t="s">
        <v>144</v>
      </c>
      <c r="AA91" s="269"/>
      <c r="AB91" s="269"/>
      <c r="AC91" s="269"/>
      <c r="AD91" s="269"/>
      <c r="AE91" s="269"/>
      <c r="AF91" s="269"/>
      <c r="AG91" s="269"/>
      <c r="AH91" s="264"/>
    </row>
    <row r="92" spans="1:34" x14ac:dyDescent="0.25">
      <c r="X92" s="66"/>
      <c r="Y92" s="66"/>
      <c r="Z92" s="66"/>
      <c r="AA92" s="66"/>
      <c r="AB92" s="66"/>
      <c r="AC92" s="66"/>
    </row>
    <row r="93" spans="1:34" x14ac:dyDescent="0.25">
      <c r="X93" s="66"/>
      <c r="Y93" s="66"/>
      <c r="Z93" s="66"/>
      <c r="AA93" s="66"/>
      <c r="AB93" s="66"/>
      <c r="AC93" s="66"/>
    </row>
    <row r="94" spans="1:34" x14ac:dyDescent="0.25">
      <c r="X94" s="66"/>
      <c r="Y94" s="66"/>
      <c r="Z94" s="66"/>
      <c r="AA94" s="66"/>
      <c r="AB94" s="66"/>
      <c r="AC94" s="66"/>
    </row>
    <row r="95" spans="1:34" x14ac:dyDescent="0.25">
      <c r="X95" s="66"/>
      <c r="Y95" s="66"/>
      <c r="Z95" s="66"/>
      <c r="AA95" s="66"/>
      <c r="AB95" s="66"/>
      <c r="AC95" s="66"/>
    </row>
    <row r="96" spans="1:34" x14ac:dyDescent="0.25">
      <c r="X96" s="66"/>
      <c r="Y96" s="66"/>
      <c r="Z96" s="66"/>
      <c r="AA96" s="66"/>
      <c r="AB96" s="66"/>
      <c r="AC96" s="66"/>
    </row>
    <row r="97" spans="24:29" x14ac:dyDescent="0.25">
      <c r="X97" s="66"/>
      <c r="Z97" s="44"/>
      <c r="AA97" s="44"/>
      <c r="AB97" s="44"/>
      <c r="AC97" s="44"/>
    </row>
    <row r="98" spans="24:29" x14ac:dyDescent="0.25">
      <c r="Z98" s="44"/>
      <c r="AA98" s="44"/>
      <c r="AB98" s="44"/>
      <c r="AC98" s="44"/>
    </row>
    <row r="99" spans="24:29" x14ac:dyDescent="0.25">
      <c r="Z99" s="44"/>
      <c r="AA99" s="44"/>
      <c r="AB99" s="44"/>
      <c r="AC99" s="44"/>
    </row>
    <row r="100" spans="24:29" x14ac:dyDescent="0.25">
      <c r="Z100" s="44"/>
      <c r="AA100" s="44"/>
      <c r="AB100" s="44"/>
      <c r="AC100" s="44"/>
    </row>
    <row r="101" spans="24:29" x14ac:dyDescent="0.25">
      <c r="Z101" s="44"/>
      <c r="AA101" s="44"/>
      <c r="AB101" s="44"/>
      <c r="AC101" s="44"/>
    </row>
    <row r="102" spans="24:29" x14ac:dyDescent="0.25">
      <c r="Z102" s="44"/>
      <c r="AA102" s="44"/>
      <c r="AB102" s="44"/>
      <c r="AC102" s="44"/>
    </row>
    <row r="103" spans="24:29" x14ac:dyDescent="0.25">
      <c r="Z103" s="44"/>
      <c r="AA103" s="44"/>
      <c r="AB103" s="44"/>
      <c r="AC103" s="44"/>
    </row>
    <row r="104" spans="24:29" x14ac:dyDescent="0.25">
      <c r="Z104" s="44"/>
      <c r="AA104" s="44"/>
      <c r="AB104" s="44"/>
      <c r="AC104" s="44"/>
    </row>
    <row r="105" spans="24:29" x14ac:dyDescent="0.25">
      <c r="Z105" s="44"/>
      <c r="AA105" s="44"/>
      <c r="AB105" s="44"/>
      <c r="AC105" s="44"/>
    </row>
    <row r="106" spans="24:29" x14ac:dyDescent="0.25">
      <c r="Z106" s="44"/>
      <c r="AA106" s="44"/>
      <c r="AB106" s="44"/>
      <c r="AC106" s="44"/>
    </row>
    <row r="107" spans="24:29" x14ac:dyDescent="0.25">
      <c r="Z107" s="44"/>
      <c r="AA107" s="44"/>
      <c r="AB107" s="44"/>
      <c r="AC107" s="44"/>
    </row>
    <row r="108" spans="24:29" x14ac:dyDescent="0.25">
      <c r="Z108" s="44"/>
      <c r="AA108" s="44"/>
      <c r="AB108" s="44"/>
      <c r="AC108" s="44"/>
    </row>
    <row r="109" spans="24:29" x14ac:dyDescent="0.25">
      <c r="Z109" s="44"/>
      <c r="AA109" s="44"/>
      <c r="AB109" s="44"/>
      <c r="AC109" s="44"/>
    </row>
    <row r="110" spans="24:29" x14ac:dyDescent="0.25">
      <c r="Z110" s="44"/>
      <c r="AA110" s="44"/>
      <c r="AB110" s="44"/>
      <c r="AC110" s="44"/>
    </row>
    <row r="111" spans="24:29" x14ac:dyDescent="0.25">
      <c r="Z111" s="44"/>
      <c r="AA111" s="44"/>
      <c r="AB111" s="44"/>
      <c r="AC111" s="44"/>
    </row>
    <row r="112" spans="24:29" x14ac:dyDescent="0.25">
      <c r="Z112" s="44"/>
      <c r="AA112" s="44"/>
      <c r="AB112" s="44"/>
      <c r="AC112" s="44"/>
    </row>
    <row r="113" spans="26:29" x14ac:dyDescent="0.25">
      <c r="Z113" s="44"/>
      <c r="AA113" s="44"/>
      <c r="AB113" s="44"/>
      <c r="AC113" s="44"/>
    </row>
    <row r="114" spans="26:29" x14ac:dyDescent="0.25">
      <c r="Z114" s="44"/>
      <c r="AA114" s="44"/>
      <c r="AB114" s="44"/>
      <c r="AC114" s="44"/>
    </row>
    <row r="115" spans="26:29" x14ac:dyDescent="0.25">
      <c r="Z115" s="44"/>
      <c r="AA115" s="44"/>
      <c r="AB115" s="44"/>
      <c r="AC115" s="44"/>
    </row>
    <row r="116" spans="26:29" x14ac:dyDescent="0.25">
      <c r="Z116" s="44"/>
      <c r="AA116" s="44"/>
      <c r="AB116" s="44"/>
      <c r="AC116" s="44"/>
    </row>
    <row r="117" spans="26:29" x14ac:dyDescent="0.25">
      <c r="Z117" s="44"/>
      <c r="AA117" s="44"/>
      <c r="AB117" s="44"/>
      <c r="AC117" s="44"/>
    </row>
    <row r="118" spans="26:29" x14ac:dyDescent="0.25">
      <c r="Z118" s="44"/>
      <c r="AA118" s="44"/>
      <c r="AB118" s="44"/>
      <c r="AC118" s="44"/>
    </row>
    <row r="119" spans="26:29" x14ac:dyDescent="0.25">
      <c r="Z119" s="44"/>
      <c r="AA119" s="44"/>
      <c r="AB119" s="44"/>
      <c r="AC119" s="44"/>
    </row>
    <row r="120" spans="26:29" x14ac:dyDescent="0.25">
      <c r="Z120" s="44"/>
      <c r="AA120" s="44"/>
      <c r="AB120" s="44"/>
      <c r="AC120" s="44"/>
    </row>
    <row r="121" spans="26:29" x14ac:dyDescent="0.25">
      <c r="Z121" s="44"/>
      <c r="AA121" s="44"/>
      <c r="AB121" s="44"/>
      <c r="AC121" s="44"/>
    </row>
    <row r="122" spans="26:29" x14ac:dyDescent="0.25">
      <c r="Z122" s="44"/>
      <c r="AA122" s="44"/>
      <c r="AB122" s="44"/>
      <c r="AC122" s="44"/>
    </row>
    <row r="123" spans="26:29" x14ac:dyDescent="0.25">
      <c r="Z123" s="44"/>
      <c r="AA123" s="44"/>
      <c r="AB123" s="44"/>
      <c r="AC123" s="44"/>
    </row>
    <row r="124" spans="26:29" x14ac:dyDescent="0.25">
      <c r="Z124" s="44"/>
      <c r="AA124" s="44"/>
      <c r="AB124" s="44"/>
      <c r="AC124" s="44"/>
    </row>
    <row r="125" spans="26:29" x14ac:dyDescent="0.25">
      <c r="Z125" s="44"/>
      <c r="AA125" s="44"/>
      <c r="AB125" s="44"/>
      <c r="AC125" s="44"/>
    </row>
    <row r="126" spans="26:29" x14ac:dyDescent="0.25">
      <c r="Z126" s="44"/>
      <c r="AA126" s="44"/>
      <c r="AB126" s="44"/>
      <c r="AC126" s="44"/>
    </row>
    <row r="127" spans="26:29" x14ac:dyDescent="0.25">
      <c r="Z127" s="44"/>
      <c r="AA127" s="44"/>
      <c r="AB127" s="44"/>
      <c r="AC127" s="44"/>
    </row>
    <row r="128" spans="26:29" x14ac:dyDescent="0.25">
      <c r="Z128" s="44"/>
      <c r="AA128" s="44"/>
      <c r="AB128" s="44"/>
      <c r="AC128" s="44"/>
    </row>
    <row r="129" spans="26:29" x14ac:dyDescent="0.25">
      <c r="Z129" s="44"/>
      <c r="AA129" s="44"/>
      <c r="AB129" s="44"/>
      <c r="AC129" s="44"/>
    </row>
    <row r="130" spans="26:29" x14ac:dyDescent="0.25">
      <c r="Z130" s="44"/>
      <c r="AA130" s="44"/>
      <c r="AB130" s="44"/>
      <c r="AC130" s="44"/>
    </row>
    <row r="131" spans="26:29" x14ac:dyDescent="0.25">
      <c r="Z131" s="44"/>
      <c r="AA131" s="44"/>
      <c r="AB131" s="44"/>
      <c r="AC131" s="44"/>
    </row>
    <row r="132" spans="26:29" x14ac:dyDescent="0.25">
      <c r="Z132" s="44"/>
      <c r="AA132" s="44"/>
      <c r="AB132" s="44"/>
      <c r="AC132" s="44"/>
    </row>
    <row r="133" spans="26:29" x14ac:dyDescent="0.25">
      <c r="Z133" s="44"/>
      <c r="AA133" s="44"/>
      <c r="AB133" s="44"/>
      <c r="AC133" s="44"/>
    </row>
    <row r="134" spans="26:29" x14ac:dyDescent="0.25">
      <c r="Z134" s="44"/>
      <c r="AA134" s="44"/>
      <c r="AB134" s="44"/>
      <c r="AC134" s="44"/>
    </row>
    <row r="135" spans="26:29" x14ac:dyDescent="0.25">
      <c r="Z135" s="44"/>
      <c r="AA135" s="44"/>
      <c r="AB135" s="44"/>
      <c r="AC135" s="44"/>
    </row>
    <row r="136" spans="26:29" x14ac:dyDescent="0.25">
      <c r="Z136" s="44"/>
      <c r="AA136" s="44"/>
      <c r="AB136" s="44"/>
      <c r="AC136" s="44"/>
    </row>
  </sheetData>
  <mergeCells count="10">
    <mergeCell ref="Z89:AA89"/>
    <mergeCell ref="Z91:AG91"/>
    <mergeCell ref="B2:C2"/>
    <mergeCell ref="Z86:AG86"/>
    <mergeCell ref="Z87:AA88"/>
    <mergeCell ref="AB87:AB88"/>
    <mergeCell ref="AC87:AC88"/>
    <mergeCell ref="AD87:AD88"/>
    <mergeCell ref="AE87:AE88"/>
    <mergeCell ref="AF87:AG87"/>
  </mergeCells>
  <pageMargins left="0.75" right="0.75" top="1" bottom="1" header="0.5" footer="0.5"/>
  <pageSetup paperSize="9" orientation="portrait" horizontalDpi="1200" verticalDpi="12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52"/>
  <sheetViews>
    <sheetView zoomScale="85" zoomScaleNormal="85" workbookViewId="0"/>
  </sheetViews>
  <sheetFormatPr defaultRowHeight="13.2" x14ac:dyDescent="0.25"/>
  <cols>
    <col min="1" max="1" width="3" customWidth="1"/>
    <col min="2" max="2" width="19.44140625" customWidth="1"/>
    <col min="3" max="3" width="7.109375" customWidth="1"/>
    <col min="4" max="4" width="7.88671875" customWidth="1"/>
    <col min="5" max="14" width="7.88671875" style="2" customWidth="1"/>
    <col min="15" max="17" width="6.6640625" style="2" customWidth="1"/>
    <col min="18" max="18" width="7.33203125" style="2" customWidth="1"/>
    <col min="19" max="19" width="6.6640625" style="2" customWidth="1"/>
    <col min="20" max="20" width="8.33203125" style="2" customWidth="1"/>
    <col min="21" max="21" width="6.6640625" style="2" customWidth="1"/>
    <col min="22" max="24" width="7.5546875" style="2" customWidth="1"/>
    <col min="25" max="25" width="6.6640625" style="2" customWidth="1"/>
  </cols>
  <sheetData>
    <row r="1" spans="2:36" s="118" customFormat="1" ht="13.8" x14ac:dyDescent="0.25">
      <c r="B1" s="209" t="s">
        <v>102</v>
      </c>
      <c r="E1" s="90"/>
      <c r="F1" s="90"/>
      <c r="G1" s="90"/>
      <c r="H1" s="90"/>
      <c r="I1" s="90"/>
      <c r="J1" s="90"/>
      <c r="K1" s="90"/>
      <c r="L1" s="90"/>
      <c r="M1" s="90"/>
      <c r="N1" s="90"/>
      <c r="O1" s="90"/>
      <c r="P1" s="90"/>
      <c r="Q1" s="90"/>
      <c r="R1" s="90"/>
      <c r="S1" s="90"/>
      <c r="T1" s="90"/>
      <c r="U1" s="90"/>
      <c r="V1" s="90"/>
      <c r="W1" s="90"/>
      <c r="X1" s="90"/>
      <c r="Y1" s="90"/>
    </row>
    <row r="2" spans="2:36" x14ac:dyDescent="0.25">
      <c r="B2" s="32" t="s">
        <v>151</v>
      </c>
      <c r="C2" s="15"/>
      <c r="D2" s="15"/>
      <c r="E2" s="15"/>
      <c r="F2" s="15"/>
      <c r="G2" s="15"/>
      <c r="H2" s="15"/>
      <c r="I2" s="15"/>
      <c r="J2" s="15"/>
      <c r="K2" s="15"/>
      <c r="L2" s="15"/>
      <c r="M2" s="15"/>
      <c r="N2" s="15"/>
      <c r="O2" s="15"/>
      <c r="P2" s="15"/>
      <c r="Q2" s="15"/>
      <c r="R2" s="15"/>
      <c r="S2" s="15"/>
      <c r="T2"/>
      <c r="U2"/>
      <c r="V2"/>
      <c r="W2"/>
      <c r="X2"/>
      <c r="Y2"/>
    </row>
    <row r="3" spans="2:36" x14ac:dyDescent="0.25">
      <c r="B3" s="68" t="s">
        <v>117</v>
      </c>
      <c r="C3" s="1"/>
      <c r="D3" s="1"/>
      <c r="E3" s="1"/>
      <c r="F3" s="1"/>
      <c r="G3" s="1"/>
      <c r="H3" s="1"/>
      <c r="I3" s="1"/>
      <c r="J3" s="1"/>
      <c r="K3" s="1"/>
      <c r="L3" s="1"/>
      <c r="M3" s="1"/>
      <c r="N3" s="1"/>
      <c r="O3" s="1"/>
      <c r="P3"/>
      <c r="Q3"/>
      <c r="R3"/>
      <c r="S3"/>
      <c r="T3"/>
      <c r="U3"/>
      <c r="V3"/>
      <c r="W3"/>
      <c r="X3"/>
      <c r="Y3"/>
    </row>
    <row r="4" spans="2:36" x14ac:dyDescent="0.25">
      <c r="B4" s="32"/>
      <c r="C4" s="15"/>
      <c r="D4" s="15"/>
      <c r="E4" s="15"/>
      <c r="F4" s="15"/>
      <c r="G4" s="15"/>
      <c r="H4" s="15"/>
      <c r="I4" s="15"/>
      <c r="J4" s="15"/>
      <c r="K4" s="15"/>
      <c r="L4" s="15"/>
      <c r="M4" s="15"/>
      <c r="N4" s="15"/>
      <c r="O4" s="15"/>
      <c r="P4" s="15"/>
      <c r="Q4" s="15"/>
      <c r="R4" s="15"/>
      <c r="S4" s="15"/>
      <c r="T4"/>
      <c r="U4"/>
      <c r="V4"/>
      <c r="W4"/>
      <c r="X4"/>
      <c r="Y4"/>
    </row>
    <row r="5" spans="2:36" x14ac:dyDescent="0.25">
      <c r="B5" s="93"/>
      <c r="C5" s="94" t="s">
        <v>96</v>
      </c>
      <c r="D5" s="195">
        <v>90</v>
      </c>
      <c r="Y5"/>
    </row>
    <row r="6" spans="2:36" x14ac:dyDescent="0.25">
      <c r="B6" s="194" t="s">
        <v>86</v>
      </c>
      <c r="X6"/>
      <c r="Y6"/>
    </row>
    <row r="7" spans="2:36" x14ac:dyDescent="0.25">
      <c r="D7" s="46" t="s">
        <v>84</v>
      </c>
      <c r="S7" s="18"/>
      <c r="X7"/>
      <c r="Y7"/>
      <c r="AB7" s="2"/>
      <c r="AC7" s="2"/>
      <c r="AD7" s="2"/>
    </row>
    <row r="8" spans="2:36" ht="27.75" customHeight="1" x14ac:dyDescent="0.25">
      <c r="D8" s="16" t="s">
        <v>3</v>
      </c>
      <c r="F8" s="4"/>
      <c r="G8" s="4"/>
      <c r="H8" s="4"/>
      <c r="I8" s="4"/>
      <c r="J8" s="4"/>
      <c r="K8" s="4"/>
      <c r="L8" s="4"/>
      <c r="M8" s="4"/>
      <c r="N8" s="4"/>
      <c r="S8" s="17"/>
      <c r="T8" s="4"/>
      <c r="U8" s="4"/>
      <c r="V8" s="4"/>
      <c r="W8" s="4"/>
      <c r="X8"/>
      <c r="Y8"/>
      <c r="AA8" s="4"/>
      <c r="AB8" s="7"/>
      <c r="AC8" s="4"/>
      <c r="AD8" s="4"/>
    </row>
    <row r="9" spans="2:36" x14ac:dyDescent="0.25">
      <c r="C9" s="19" t="s">
        <v>2</v>
      </c>
      <c r="D9" s="70">
        <v>400</v>
      </c>
      <c r="S9" s="18"/>
      <c r="AB9" s="8"/>
      <c r="AC9" s="2"/>
      <c r="AD9" s="2"/>
      <c r="AE9" s="2"/>
    </row>
    <row r="10" spans="2:36" x14ac:dyDescent="0.25">
      <c r="C10" s="19" t="s">
        <v>25</v>
      </c>
      <c r="D10" s="70">
        <v>30</v>
      </c>
      <c r="S10" s="18"/>
      <c r="U10" s="28"/>
      <c r="AB10" s="8"/>
      <c r="AC10" s="2"/>
      <c r="AD10" s="2"/>
      <c r="AE10" s="2"/>
    </row>
    <row r="11" spans="2:36" x14ac:dyDescent="0.25">
      <c r="C11" s="19" t="s">
        <v>26</v>
      </c>
      <c r="D11" s="22">
        <f>1+D10/100</f>
        <v>1.3</v>
      </c>
      <c r="E11" s="28"/>
      <c r="V11" s="28" t="s">
        <v>85</v>
      </c>
      <c r="Z11" s="2"/>
      <c r="AA11" s="2"/>
      <c r="AD11" s="8"/>
      <c r="AE11" s="2"/>
      <c r="AF11" s="2"/>
      <c r="AG11" s="2"/>
    </row>
    <row r="12" spans="2:36" x14ac:dyDescent="0.25">
      <c r="C12" s="33" t="s">
        <v>77</v>
      </c>
      <c r="D12" s="10"/>
      <c r="E12" s="201">
        <v>10</v>
      </c>
      <c r="F12" s="204">
        <f>E12</f>
        <v>10</v>
      </c>
      <c r="G12" s="204">
        <f t="shared" ref="G12:N12" si="0">F12</f>
        <v>10</v>
      </c>
      <c r="H12" s="204">
        <f t="shared" si="0"/>
        <v>10</v>
      </c>
      <c r="I12" s="204">
        <f t="shared" si="0"/>
        <v>10</v>
      </c>
      <c r="J12" s="204">
        <f>I12</f>
        <v>10</v>
      </c>
      <c r="K12" s="204">
        <f t="shared" si="0"/>
        <v>10</v>
      </c>
      <c r="L12" s="204">
        <f t="shared" si="0"/>
        <v>10</v>
      </c>
      <c r="M12" s="204">
        <f t="shared" si="0"/>
        <v>10</v>
      </c>
      <c r="N12" s="204">
        <f t="shared" si="0"/>
        <v>10</v>
      </c>
      <c r="U12" s="18"/>
      <c r="V12" s="68"/>
      <c r="Z12" s="2"/>
      <c r="AA12" s="2"/>
      <c r="AC12" s="1"/>
      <c r="AE12" s="8"/>
      <c r="AF12" s="8"/>
      <c r="AG12" s="8"/>
    </row>
    <row r="13" spans="2:36" x14ac:dyDescent="0.25">
      <c r="C13" s="33" t="s">
        <v>53</v>
      </c>
      <c r="D13" s="10"/>
      <c r="E13" s="204">
        <v>5</v>
      </c>
      <c r="F13" s="204">
        <v>0</v>
      </c>
      <c r="G13" s="207">
        <f>100/1.05-100</f>
        <v>-4.7619047619047592</v>
      </c>
      <c r="H13" s="204">
        <v>5</v>
      </c>
      <c r="I13" s="204">
        <v>0</v>
      </c>
      <c r="J13" s="207">
        <f t="shared" ref="J13" si="1">100/1.05-100</f>
        <v>-4.7619047619047592</v>
      </c>
      <c r="K13" s="204">
        <v>5</v>
      </c>
      <c r="L13" s="204">
        <v>0</v>
      </c>
      <c r="M13" s="207">
        <f t="shared" ref="M13" si="2">100/1.05-100</f>
        <v>-4.7619047619047592</v>
      </c>
      <c r="N13" s="204">
        <v>0</v>
      </c>
      <c r="U13" s="18"/>
      <c r="V13" s="68"/>
      <c r="Z13" s="2"/>
      <c r="AA13" s="2"/>
      <c r="AC13" s="1"/>
      <c r="AE13" s="8"/>
      <c r="AF13" s="8"/>
      <c r="AG13" s="8"/>
    </row>
    <row r="14" spans="2:36" x14ac:dyDescent="0.25">
      <c r="C14" s="33" t="s">
        <v>34</v>
      </c>
      <c r="D14" s="19"/>
      <c r="E14" s="202" t="s">
        <v>114</v>
      </c>
      <c r="F14" s="202" t="s">
        <v>115</v>
      </c>
      <c r="G14" s="202" t="s">
        <v>116</v>
      </c>
      <c r="H14" s="202" t="s">
        <v>114</v>
      </c>
      <c r="I14" s="202" t="s">
        <v>115</v>
      </c>
      <c r="J14" s="202" t="s">
        <v>116</v>
      </c>
      <c r="K14" s="202" t="s">
        <v>114</v>
      </c>
      <c r="L14" s="202" t="s">
        <v>115</v>
      </c>
      <c r="M14" s="202" t="s">
        <v>116</v>
      </c>
      <c r="N14" s="202" t="s">
        <v>115</v>
      </c>
      <c r="U14" s="18"/>
      <c r="Z14" s="2"/>
      <c r="AA14" s="2"/>
      <c r="AC14" s="1"/>
      <c r="AE14" s="8"/>
      <c r="AF14" s="8"/>
      <c r="AG14" s="8"/>
    </row>
    <row r="15" spans="2:36" ht="12.6" customHeight="1" x14ac:dyDescent="0.25">
      <c r="C15" s="33"/>
      <c r="D15" s="10"/>
      <c r="E15" s="200" t="s">
        <v>35</v>
      </c>
      <c r="F15" s="200" t="s">
        <v>36</v>
      </c>
      <c r="G15" s="200" t="s">
        <v>37</v>
      </c>
      <c r="H15" s="200" t="s">
        <v>38</v>
      </c>
      <c r="I15" s="200" t="s">
        <v>39</v>
      </c>
      <c r="J15" s="200" t="s">
        <v>40</v>
      </c>
      <c r="K15" s="200" t="s">
        <v>41</v>
      </c>
      <c r="L15" s="200" t="s">
        <v>42</v>
      </c>
      <c r="M15" s="200" t="s">
        <v>43</v>
      </c>
      <c r="N15" s="200" t="s">
        <v>44</v>
      </c>
      <c r="P15" s="36" t="s">
        <v>2</v>
      </c>
      <c r="V15" s="21" t="str">
        <f t="shared" ref="V15:AE15" si="3">E15</f>
        <v>Game1</v>
      </c>
      <c r="W15" s="21" t="str">
        <f t="shared" si="3"/>
        <v>Game2</v>
      </c>
      <c r="X15" s="21" t="str">
        <f t="shared" si="3"/>
        <v>Game3</v>
      </c>
      <c r="Y15" s="21" t="str">
        <f t="shared" si="3"/>
        <v>Game4</v>
      </c>
      <c r="Z15" s="21" t="str">
        <f t="shared" si="3"/>
        <v>Game5</v>
      </c>
      <c r="AA15" s="21" t="str">
        <f t="shared" si="3"/>
        <v>Game6</v>
      </c>
      <c r="AB15" s="21" t="str">
        <f t="shared" si="3"/>
        <v>Game7</v>
      </c>
      <c r="AC15" s="21" t="str">
        <f t="shared" si="3"/>
        <v>Game8</v>
      </c>
      <c r="AD15" s="21" t="str">
        <f t="shared" si="3"/>
        <v>Game9</v>
      </c>
      <c r="AE15" s="21" t="str">
        <f t="shared" si="3"/>
        <v>Game10</v>
      </c>
      <c r="AF15" s="2"/>
      <c r="AG15" s="36" t="s">
        <v>2</v>
      </c>
      <c r="AI15" s="43"/>
      <c r="AJ15" s="43"/>
    </row>
    <row r="16" spans="2:36" x14ac:dyDescent="0.25">
      <c r="C16" s="219" t="s">
        <v>4</v>
      </c>
      <c r="D16" s="20"/>
      <c r="E16" s="210">
        <v>475.32667427149573</v>
      </c>
      <c r="F16" s="211">
        <v>498.96096372119013</v>
      </c>
      <c r="G16" s="211"/>
      <c r="H16" s="211"/>
      <c r="I16" s="211"/>
      <c r="J16" s="211"/>
      <c r="K16" s="211"/>
      <c r="L16" s="211"/>
      <c r="M16" s="211"/>
      <c r="N16" s="212"/>
      <c r="O16" s="6"/>
      <c r="P16" s="37">
        <f t="shared" ref="P16:P35" si="4">AVERAGE(E16:N16)</f>
        <v>487.14381899634293</v>
      </c>
      <c r="R16" s="43"/>
      <c r="S16" s="43"/>
      <c r="U16" s="6"/>
      <c r="V16" s="156">
        <f t="shared" ref="V16:AA35" si="5">100*LN(E16)</f>
        <v>616.40023029614986</v>
      </c>
      <c r="W16" s="157">
        <f t="shared" si="5"/>
        <v>621.25278636758185</v>
      </c>
      <c r="X16" s="157"/>
      <c r="Y16" s="157"/>
      <c r="Z16" s="157"/>
      <c r="AA16" s="157"/>
      <c r="AB16" s="157"/>
      <c r="AC16" s="157"/>
      <c r="AD16" s="157"/>
      <c r="AE16" s="158"/>
      <c r="AF16" s="6"/>
      <c r="AG16" s="37">
        <f>AVERAGE(V16:AE16)</f>
        <v>618.82650833186585</v>
      </c>
      <c r="AI16" s="43"/>
      <c r="AJ16" s="43"/>
    </row>
    <row r="17" spans="3:36" x14ac:dyDescent="0.25">
      <c r="C17" s="219" t="s">
        <v>5</v>
      </c>
      <c r="D17" s="20"/>
      <c r="E17" s="213">
        <v>651.80718660875664</v>
      </c>
      <c r="F17" s="214">
        <v>589.34576302694768</v>
      </c>
      <c r="G17" s="214"/>
      <c r="H17" s="214"/>
      <c r="I17" s="214"/>
      <c r="J17" s="214"/>
      <c r="K17" s="214"/>
      <c r="L17" s="214"/>
      <c r="M17" s="214"/>
      <c r="N17" s="215"/>
      <c r="O17" s="6"/>
      <c r="P17" s="37">
        <f t="shared" si="4"/>
        <v>620.57647481785216</v>
      </c>
      <c r="R17" s="43"/>
      <c r="S17" s="43"/>
      <c r="U17" s="6"/>
      <c r="V17" s="159">
        <f t="shared" si="5"/>
        <v>647.97487921308891</v>
      </c>
      <c r="W17" s="160">
        <f t="shared" si="5"/>
        <v>637.90130454161385</v>
      </c>
      <c r="X17" s="160"/>
      <c r="Y17" s="160"/>
      <c r="Z17" s="160"/>
      <c r="AA17" s="160"/>
      <c r="AB17" s="160"/>
      <c r="AC17" s="160"/>
      <c r="AD17" s="160"/>
      <c r="AE17" s="161"/>
      <c r="AF17" s="6"/>
      <c r="AG17" s="37">
        <f t="shared" ref="AG17:AG35" si="6">AVERAGE(V17:AE17)</f>
        <v>642.93809187735133</v>
      </c>
      <c r="AI17" s="43"/>
      <c r="AJ17" s="43"/>
    </row>
    <row r="18" spans="3:36" x14ac:dyDescent="0.25">
      <c r="C18" s="219" t="s">
        <v>6</v>
      </c>
      <c r="D18" s="20"/>
      <c r="E18" s="213">
        <v>320.64043789170898</v>
      </c>
      <c r="F18" s="214">
        <v>388.9994354818898</v>
      </c>
      <c r="G18" s="214"/>
      <c r="H18" s="214"/>
      <c r="I18" s="214"/>
      <c r="J18" s="214"/>
      <c r="K18" s="214"/>
      <c r="L18" s="214"/>
      <c r="M18" s="214"/>
      <c r="N18" s="215"/>
      <c r="O18" s="6"/>
      <c r="P18" s="37">
        <f t="shared" si="4"/>
        <v>354.81993668679939</v>
      </c>
      <c r="R18" s="43"/>
      <c r="S18" s="43"/>
      <c r="U18" s="6"/>
      <c r="V18" s="159">
        <f t="shared" si="5"/>
        <v>577.03203641357425</v>
      </c>
      <c r="W18" s="160">
        <f t="shared" si="5"/>
        <v>596.35778924140254</v>
      </c>
      <c r="X18" s="160"/>
      <c r="Y18" s="160"/>
      <c r="Z18" s="160"/>
      <c r="AA18" s="160"/>
      <c r="AB18" s="160"/>
      <c r="AC18" s="160"/>
      <c r="AD18" s="160"/>
      <c r="AE18" s="161"/>
      <c r="AF18" s="6"/>
      <c r="AG18" s="37">
        <f t="shared" si="6"/>
        <v>586.69491282748845</v>
      </c>
      <c r="AI18" s="43"/>
      <c r="AJ18" s="43"/>
    </row>
    <row r="19" spans="3:36" x14ac:dyDescent="0.25">
      <c r="C19" s="219" t="s">
        <v>7</v>
      </c>
      <c r="D19" s="20"/>
      <c r="E19" s="213">
        <v>385.69722727134308</v>
      </c>
      <c r="F19" s="214">
        <v>356.71910412559561</v>
      </c>
      <c r="G19" s="214"/>
      <c r="H19" s="214"/>
      <c r="I19" s="214"/>
      <c r="J19" s="214"/>
      <c r="K19" s="214"/>
      <c r="L19" s="214"/>
      <c r="M19" s="214"/>
      <c r="N19" s="215"/>
      <c r="O19" s="6"/>
      <c r="P19" s="37">
        <f t="shared" si="4"/>
        <v>371.20816569846932</v>
      </c>
      <c r="R19" s="43"/>
      <c r="S19" s="43"/>
      <c r="U19" s="6"/>
      <c r="V19" s="159">
        <f t="shared" si="5"/>
        <v>595.50526763663129</v>
      </c>
      <c r="W19" s="160">
        <f t="shared" si="5"/>
        <v>587.69486488942118</v>
      </c>
      <c r="X19" s="160"/>
      <c r="Y19" s="160"/>
      <c r="Z19" s="160"/>
      <c r="AA19" s="160"/>
      <c r="AB19" s="160"/>
      <c r="AC19" s="160"/>
      <c r="AD19" s="160"/>
      <c r="AE19" s="161"/>
      <c r="AF19" s="6"/>
      <c r="AG19" s="37">
        <f t="shared" si="6"/>
        <v>591.60006626302629</v>
      </c>
      <c r="AI19" s="43"/>
      <c r="AJ19" s="43"/>
    </row>
    <row r="20" spans="3:36" x14ac:dyDescent="0.25">
      <c r="C20" s="219" t="s">
        <v>8</v>
      </c>
      <c r="D20" s="20"/>
      <c r="E20" s="213">
        <v>485.99541344560203</v>
      </c>
      <c r="F20" s="214">
        <v>511.85887279444057</v>
      </c>
      <c r="G20" s="214"/>
      <c r="H20" s="214"/>
      <c r="I20" s="214"/>
      <c r="J20" s="214"/>
      <c r="K20" s="214"/>
      <c r="L20" s="214"/>
      <c r="M20" s="214"/>
      <c r="N20" s="215"/>
      <c r="O20" s="6"/>
      <c r="P20" s="37">
        <f t="shared" si="4"/>
        <v>498.9271431200213</v>
      </c>
      <c r="R20" s="43"/>
      <c r="S20" s="43"/>
      <c r="U20" s="6"/>
      <c r="V20" s="159">
        <f t="shared" si="5"/>
        <v>618.61991865012328</v>
      </c>
      <c r="W20" s="160">
        <f t="shared" si="5"/>
        <v>623.80489479707182</v>
      </c>
      <c r="X20" s="160"/>
      <c r="Y20" s="160"/>
      <c r="Z20" s="160"/>
      <c r="AA20" s="160"/>
      <c r="AB20" s="160"/>
      <c r="AC20" s="160"/>
      <c r="AD20" s="160"/>
      <c r="AE20" s="161"/>
      <c r="AF20" s="6"/>
      <c r="AG20" s="37">
        <f t="shared" si="6"/>
        <v>621.2124067235975</v>
      </c>
      <c r="AI20" s="43"/>
      <c r="AJ20" s="43"/>
    </row>
    <row r="21" spans="3:36" x14ac:dyDescent="0.25">
      <c r="C21" s="219" t="s">
        <v>9</v>
      </c>
      <c r="D21" s="20"/>
      <c r="E21" s="213">
        <v>512.58382627839433</v>
      </c>
      <c r="F21" s="214">
        <v>549.99042530787949</v>
      </c>
      <c r="G21" s="214"/>
      <c r="H21" s="214"/>
      <c r="I21" s="214"/>
      <c r="J21" s="214"/>
      <c r="K21" s="214"/>
      <c r="L21" s="214"/>
      <c r="M21" s="214"/>
      <c r="N21" s="215"/>
      <c r="O21" s="6"/>
      <c r="P21" s="37">
        <f t="shared" si="4"/>
        <v>531.28712579313697</v>
      </c>
      <c r="R21" s="43"/>
      <c r="S21" s="43"/>
      <c r="U21" s="6"/>
      <c r="V21" s="159">
        <f t="shared" si="5"/>
        <v>623.94642611075551</v>
      </c>
      <c r="W21" s="160">
        <f t="shared" si="5"/>
        <v>630.99008695438579</v>
      </c>
      <c r="X21" s="160"/>
      <c r="Y21" s="160"/>
      <c r="Z21" s="160"/>
      <c r="AA21" s="160"/>
      <c r="AB21" s="160"/>
      <c r="AC21" s="160"/>
      <c r="AD21" s="160"/>
      <c r="AE21" s="161"/>
      <c r="AF21" s="6"/>
      <c r="AG21" s="37">
        <f t="shared" si="6"/>
        <v>627.46825653257065</v>
      </c>
      <c r="AI21" s="43"/>
      <c r="AJ21" s="43"/>
    </row>
    <row r="22" spans="3:36" x14ac:dyDescent="0.25">
      <c r="C22" s="219" t="s">
        <v>10</v>
      </c>
      <c r="D22" s="20"/>
      <c r="E22" s="213">
        <v>382.82949687036336</v>
      </c>
      <c r="F22" s="214">
        <v>462.19491994197648</v>
      </c>
      <c r="G22" s="214">
        <v>439.00546111357272</v>
      </c>
      <c r="H22" s="214">
        <v>481.68581731986257</v>
      </c>
      <c r="I22" s="214">
        <v>640.14876215065715</v>
      </c>
      <c r="J22" s="214"/>
      <c r="K22" s="214"/>
      <c r="L22" s="214"/>
      <c r="M22" s="214"/>
      <c r="N22" s="215"/>
      <c r="O22" s="6"/>
      <c r="P22" s="37">
        <f t="shared" si="4"/>
        <v>481.17289147928642</v>
      </c>
      <c r="R22" s="43"/>
      <c r="S22" s="43"/>
      <c r="U22" s="6"/>
      <c r="V22" s="159">
        <f t="shared" si="5"/>
        <v>594.75897121753837</v>
      </c>
      <c r="W22" s="160">
        <f t="shared" si="5"/>
        <v>613.59867067413165</v>
      </c>
      <c r="X22" s="160">
        <f t="shared" si="5"/>
        <v>608.45118528920398</v>
      </c>
      <c r="Y22" s="160">
        <f t="shared" si="5"/>
        <v>617.72920702296324</v>
      </c>
      <c r="Z22" s="160">
        <f t="shared" si="5"/>
        <v>646.17005902039284</v>
      </c>
      <c r="AA22" s="160"/>
      <c r="AB22" s="160"/>
      <c r="AC22" s="160"/>
      <c r="AD22" s="160"/>
      <c r="AE22" s="161"/>
      <c r="AF22" s="6"/>
      <c r="AG22" s="37">
        <f t="shared" si="6"/>
        <v>616.14161864484595</v>
      </c>
      <c r="AI22" s="43"/>
      <c r="AJ22" s="43"/>
    </row>
    <row r="23" spans="3:36" x14ac:dyDescent="0.25">
      <c r="C23" s="219" t="s">
        <v>11</v>
      </c>
      <c r="D23" s="20"/>
      <c r="E23" s="213">
        <v>557.19808171051068</v>
      </c>
      <c r="F23" s="214">
        <v>470.53667906325109</v>
      </c>
      <c r="G23" s="214">
        <v>401.26481544339458</v>
      </c>
      <c r="H23" s="214">
        <v>456.02768656272963</v>
      </c>
      <c r="I23" s="214">
        <v>465.30671418037213</v>
      </c>
      <c r="J23" s="214"/>
      <c r="K23" s="214"/>
      <c r="L23" s="214"/>
      <c r="M23" s="214"/>
      <c r="N23" s="215"/>
      <c r="O23" s="6"/>
      <c r="P23" s="37">
        <f t="shared" si="4"/>
        <v>470.06679539205163</v>
      </c>
      <c r="R23" s="43"/>
      <c r="S23" s="43"/>
      <c r="U23" s="6"/>
      <c r="V23" s="159">
        <f t="shared" si="5"/>
        <v>632.2920799169126</v>
      </c>
      <c r="W23" s="160">
        <f t="shared" si="5"/>
        <v>615.38739136133597</v>
      </c>
      <c r="X23" s="160">
        <f t="shared" si="5"/>
        <v>599.46215969859941</v>
      </c>
      <c r="Y23" s="160">
        <f t="shared" si="5"/>
        <v>612.25535238175723</v>
      </c>
      <c r="Z23" s="160">
        <f t="shared" si="5"/>
        <v>614.26967885345277</v>
      </c>
      <c r="AA23" s="160"/>
      <c r="AB23" s="160"/>
      <c r="AC23" s="160"/>
      <c r="AD23" s="160"/>
      <c r="AE23" s="161"/>
      <c r="AF23" s="6"/>
      <c r="AG23" s="37">
        <f t="shared" si="6"/>
        <v>614.73333244241155</v>
      </c>
      <c r="AI23" s="43"/>
      <c r="AJ23" s="43"/>
    </row>
    <row r="24" spans="3:36" x14ac:dyDescent="0.25">
      <c r="C24" s="219" t="s">
        <v>12</v>
      </c>
      <c r="D24" s="20"/>
      <c r="E24" s="213">
        <v>397.8174013059176</v>
      </c>
      <c r="F24" s="214">
        <v>374.1521169784686</v>
      </c>
      <c r="G24" s="214">
        <v>305.21957765792075</v>
      </c>
      <c r="H24" s="214">
        <v>397.7294356931904</v>
      </c>
      <c r="I24" s="214">
        <v>335.30808608831637</v>
      </c>
      <c r="J24" s="214"/>
      <c r="K24" s="214"/>
      <c r="L24" s="214"/>
      <c r="M24" s="214"/>
      <c r="N24" s="215"/>
      <c r="O24" s="6"/>
      <c r="P24" s="37">
        <f t="shared" si="4"/>
        <v>362.04532354476277</v>
      </c>
      <c r="R24" s="43"/>
      <c r="S24" s="43"/>
      <c r="U24" s="6"/>
      <c r="V24" s="159">
        <f t="shared" si="5"/>
        <v>598.59931093191392</v>
      </c>
      <c r="W24" s="160">
        <f t="shared" si="5"/>
        <v>592.4662444611306</v>
      </c>
      <c r="X24" s="160">
        <f t="shared" si="5"/>
        <v>572.10314443317429</v>
      </c>
      <c r="Y24" s="160">
        <f t="shared" si="5"/>
        <v>598.57719642928635</v>
      </c>
      <c r="Z24" s="160">
        <f t="shared" si="5"/>
        <v>581.50497691620603</v>
      </c>
      <c r="AA24" s="160"/>
      <c r="AB24" s="160"/>
      <c r="AC24" s="160"/>
      <c r="AD24" s="160"/>
      <c r="AE24" s="161"/>
      <c r="AF24" s="6"/>
      <c r="AG24" s="37">
        <f t="shared" si="6"/>
        <v>588.65017463434219</v>
      </c>
      <c r="AI24" s="43"/>
      <c r="AJ24" s="43"/>
    </row>
    <row r="25" spans="3:36" x14ac:dyDescent="0.25">
      <c r="C25" s="219" t="s">
        <v>13</v>
      </c>
      <c r="D25" s="20"/>
      <c r="E25" s="213">
        <v>819.70211089506711</v>
      </c>
      <c r="F25" s="214">
        <v>696.59997055858105</v>
      </c>
      <c r="G25" s="214">
        <v>636.84102388508654</v>
      </c>
      <c r="H25" s="214">
        <v>738.02815088472062</v>
      </c>
      <c r="I25" s="214">
        <v>758.22047139134395</v>
      </c>
      <c r="J25" s="214"/>
      <c r="K25" s="214"/>
      <c r="L25" s="214"/>
      <c r="M25" s="214"/>
      <c r="N25" s="215"/>
      <c r="O25" s="6"/>
      <c r="P25" s="37">
        <f t="shared" si="4"/>
        <v>729.87834552295976</v>
      </c>
      <c r="R25" s="43"/>
      <c r="S25" s="43"/>
      <c r="U25" s="6"/>
      <c r="V25" s="159">
        <f t="shared" si="5"/>
        <v>670.8940994860094</v>
      </c>
      <c r="W25" s="160">
        <f t="shared" si="5"/>
        <v>654.62113156674457</v>
      </c>
      <c r="X25" s="160">
        <f t="shared" si="5"/>
        <v>645.65200543852677</v>
      </c>
      <c r="Y25" s="160">
        <f t="shared" si="5"/>
        <v>660.39819687032218</v>
      </c>
      <c r="Z25" s="160">
        <f t="shared" si="5"/>
        <v>663.09742027063248</v>
      </c>
      <c r="AA25" s="160"/>
      <c r="AB25" s="160"/>
      <c r="AC25" s="160"/>
      <c r="AD25" s="160"/>
      <c r="AE25" s="161"/>
      <c r="AF25" s="6"/>
      <c r="AG25" s="37">
        <f t="shared" si="6"/>
        <v>658.93257072644712</v>
      </c>
      <c r="AI25" s="43"/>
      <c r="AJ25" s="43"/>
    </row>
    <row r="26" spans="3:36" x14ac:dyDescent="0.25">
      <c r="C26" s="219" t="s">
        <v>14</v>
      </c>
      <c r="D26" s="20"/>
      <c r="E26" s="213">
        <v>433.57928943384536</v>
      </c>
      <c r="F26" s="214">
        <v>438.49087670819864</v>
      </c>
      <c r="G26" s="214">
        <v>336.87598329006323</v>
      </c>
      <c r="H26" s="214">
        <v>418.24559268320269</v>
      </c>
      <c r="I26" s="214">
        <v>438.65041357454646</v>
      </c>
      <c r="J26" s="214"/>
      <c r="K26" s="214"/>
      <c r="L26" s="214"/>
      <c r="M26" s="214"/>
      <c r="N26" s="215"/>
      <c r="O26" s="6"/>
      <c r="P26" s="37">
        <f t="shared" si="4"/>
        <v>413.1684311379712</v>
      </c>
      <c r="R26" s="43"/>
      <c r="S26" s="43"/>
      <c r="U26" s="6"/>
      <c r="V26" s="159">
        <f t="shared" si="5"/>
        <v>607.20746847638532</v>
      </c>
      <c r="W26" s="160">
        <f t="shared" si="5"/>
        <v>608.33390059132398</v>
      </c>
      <c r="X26" s="160">
        <f t="shared" si="5"/>
        <v>581.97148605163318</v>
      </c>
      <c r="Y26" s="160">
        <f t="shared" si="5"/>
        <v>603.60688022936677</v>
      </c>
      <c r="Z26" s="160">
        <f t="shared" si="5"/>
        <v>608.3702771408889</v>
      </c>
      <c r="AA26" s="160"/>
      <c r="AB26" s="160"/>
      <c r="AC26" s="160"/>
      <c r="AD26" s="160"/>
      <c r="AE26" s="161"/>
      <c r="AF26" s="6"/>
      <c r="AG26" s="37">
        <f t="shared" si="6"/>
        <v>601.89800249791961</v>
      </c>
      <c r="AI26" s="43"/>
      <c r="AJ26" s="43"/>
    </row>
    <row r="27" spans="3:36" x14ac:dyDescent="0.25">
      <c r="C27" s="219" t="s">
        <v>15</v>
      </c>
      <c r="D27" s="20"/>
      <c r="E27" s="213">
        <v>371.32223850460889</v>
      </c>
      <c r="F27" s="214">
        <v>344.21922254034251</v>
      </c>
      <c r="G27" s="214">
        <v>360.70406139588107</v>
      </c>
      <c r="H27" s="214">
        <v>363.87887008461479</v>
      </c>
      <c r="I27" s="214">
        <v>377.10249974704601</v>
      </c>
      <c r="J27" s="214"/>
      <c r="K27" s="214"/>
      <c r="L27" s="214"/>
      <c r="M27" s="214"/>
      <c r="N27" s="215"/>
      <c r="O27" s="6"/>
      <c r="P27" s="37">
        <f t="shared" si="4"/>
        <v>363.44537845449867</v>
      </c>
      <c r="R27" s="43"/>
      <c r="S27" s="43"/>
      <c r="U27" s="6"/>
      <c r="V27" s="159">
        <f t="shared" si="5"/>
        <v>591.70702530189169</v>
      </c>
      <c r="W27" s="160">
        <f t="shared" si="5"/>
        <v>584.12787292266012</v>
      </c>
      <c r="X27" s="160">
        <f t="shared" si="5"/>
        <v>588.80578476073481</v>
      </c>
      <c r="Y27" s="160">
        <f t="shared" si="5"/>
        <v>589.68210377622063</v>
      </c>
      <c r="Z27" s="160">
        <f t="shared" si="5"/>
        <v>593.2517033112789</v>
      </c>
      <c r="AA27" s="160"/>
      <c r="AB27" s="160"/>
      <c r="AC27" s="160"/>
      <c r="AD27" s="160"/>
      <c r="AE27" s="161"/>
      <c r="AF27" s="6"/>
      <c r="AG27" s="37">
        <f t="shared" si="6"/>
        <v>589.51489801455728</v>
      </c>
      <c r="AI27" s="43"/>
      <c r="AJ27" s="43"/>
    </row>
    <row r="28" spans="3:36" x14ac:dyDescent="0.25">
      <c r="C28" s="219" t="s">
        <v>16</v>
      </c>
      <c r="D28" s="20"/>
      <c r="E28" s="213">
        <v>538.52150430516872</v>
      </c>
      <c r="F28" s="214">
        <v>511.39108401823421</v>
      </c>
      <c r="G28" s="214">
        <v>431.69228656815437</v>
      </c>
      <c r="H28" s="214">
        <v>393.06171903373519</v>
      </c>
      <c r="I28" s="214">
        <v>399.40846170893167</v>
      </c>
      <c r="J28" s="214">
        <v>434.96320648046452</v>
      </c>
      <c r="K28" s="214"/>
      <c r="L28" s="214"/>
      <c r="M28" s="214"/>
      <c r="N28" s="215"/>
      <c r="O28" s="6"/>
      <c r="P28" s="37">
        <f t="shared" si="4"/>
        <v>451.50637701911478</v>
      </c>
      <c r="R28" s="43"/>
      <c r="S28" s="43"/>
      <c r="U28" s="6"/>
      <c r="V28" s="159">
        <f t="shared" si="5"/>
        <v>628.88274295134477</v>
      </c>
      <c r="W28" s="160">
        <f t="shared" si="5"/>
        <v>623.71346282472132</v>
      </c>
      <c r="X28" s="160">
        <f t="shared" si="5"/>
        <v>606.77130348274579</v>
      </c>
      <c r="Y28" s="160">
        <f t="shared" si="5"/>
        <v>597.39666454262135</v>
      </c>
      <c r="Z28" s="160">
        <f t="shared" si="5"/>
        <v>598.99846068087004</v>
      </c>
      <c r="AA28" s="160">
        <f t="shared" si="5"/>
        <v>607.5261444707827</v>
      </c>
      <c r="AB28" s="160"/>
      <c r="AC28" s="160"/>
      <c r="AD28" s="160"/>
      <c r="AE28" s="161"/>
      <c r="AF28" s="6"/>
      <c r="AG28" s="37">
        <f t="shared" si="6"/>
        <v>610.54812982551425</v>
      </c>
      <c r="AI28" s="43"/>
      <c r="AJ28" s="43"/>
    </row>
    <row r="29" spans="3:36" x14ac:dyDescent="0.25">
      <c r="C29" s="219" t="s">
        <v>17</v>
      </c>
      <c r="D29" s="20"/>
      <c r="E29" s="213">
        <v>413.1992047488161</v>
      </c>
      <c r="F29" s="214">
        <v>486.78150971415977</v>
      </c>
      <c r="G29" s="214">
        <v>433.98754218539904</v>
      </c>
      <c r="H29" s="214">
        <v>444.94469014311164</v>
      </c>
      <c r="I29" s="214">
        <v>385.39716794374999</v>
      </c>
      <c r="J29" s="214">
        <v>408.78592671566179</v>
      </c>
      <c r="K29" s="214"/>
      <c r="L29" s="214"/>
      <c r="M29" s="214"/>
      <c r="N29" s="215"/>
      <c r="O29" s="6"/>
      <c r="P29" s="37">
        <f t="shared" si="4"/>
        <v>428.84934024181638</v>
      </c>
      <c r="R29" s="43"/>
      <c r="S29" s="43"/>
      <c r="U29" s="6"/>
      <c r="V29" s="159">
        <f t="shared" si="5"/>
        <v>602.3929812627988</v>
      </c>
      <c r="W29" s="160">
        <f t="shared" si="5"/>
        <v>618.78153770603512</v>
      </c>
      <c r="X29" s="160">
        <f t="shared" si="5"/>
        <v>607.30158290464806</v>
      </c>
      <c r="Y29" s="160">
        <f t="shared" si="5"/>
        <v>609.79499826281403</v>
      </c>
      <c r="Z29" s="160">
        <f t="shared" si="5"/>
        <v>595.42744075976623</v>
      </c>
      <c r="AA29" s="160">
        <f t="shared" si="5"/>
        <v>601.31916124545967</v>
      </c>
      <c r="AB29" s="160"/>
      <c r="AC29" s="160"/>
      <c r="AD29" s="160"/>
      <c r="AE29" s="161"/>
      <c r="AF29" s="6"/>
      <c r="AG29" s="37">
        <f t="shared" si="6"/>
        <v>605.83628369025371</v>
      </c>
      <c r="AI29" s="43"/>
      <c r="AJ29" s="43"/>
    </row>
    <row r="30" spans="3:36" x14ac:dyDescent="0.25">
      <c r="C30" s="219" t="s">
        <v>18</v>
      </c>
      <c r="D30" s="20"/>
      <c r="E30" s="213">
        <v>556.95340413485917</v>
      </c>
      <c r="F30" s="214">
        <v>513.63080360087929</v>
      </c>
      <c r="G30" s="214">
        <v>541.56208400952914</v>
      </c>
      <c r="H30" s="214">
        <v>633.49136571557835</v>
      </c>
      <c r="I30" s="214">
        <v>626.15003979730523</v>
      </c>
      <c r="J30" s="214">
        <v>531.59913621465432</v>
      </c>
      <c r="K30" s="214"/>
      <c r="L30" s="214"/>
      <c r="M30" s="214"/>
      <c r="N30" s="215"/>
      <c r="O30" s="6"/>
      <c r="P30" s="37">
        <f t="shared" si="4"/>
        <v>567.23113891213416</v>
      </c>
      <c r="R30" s="43"/>
      <c r="S30" s="43"/>
      <c r="U30" s="6"/>
      <c r="V30" s="159">
        <f t="shared" si="5"/>
        <v>632.24815813738917</v>
      </c>
      <c r="W30" s="160">
        <f t="shared" si="5"/>
        <v>624.15047264356815</v>
      </c>
      <c r="X30" s="160">
        <f t="shared" si="5"/>
        <v>629.44577117795052</v>
      </c>
      <c r="Y30" s="160">
        <f t="shared" si="5"/>
        <v>645.12463701743548</v>
      </c>
      <c r="Z30" s="160">
        <f t="shared" si="5"/>
        <v>643.95900225687797</v>
      </c>
      <c r="AA30" s="160">
        <f t="shared" si="5"/>
        <v>627.58897019593917</v>
      </c>
      <c r="AB30" s="160"/>
      <c r="AC30" s="160"/>
      <c r="AD30" s="160"/>
      <c r="AE30" s="161"/>
      <c r="AF30" s="6"/>
      <c r="AG30" s="37">
        <f t="shared" si="6"/>
        <v>633.75283523819337</v>
      </c>
      <c r="AI30" s="43"/>
      <c r="AJ30" s="43"/>
    </row>
    <row r="31" spans="3:36" x14ac:dyDescent="0.25">
      <c r="C31" s="219" t="s">
        <v>19</v>
      </c>
      <c r="D31" s="20"/>
      <c r="E31" s="213">
        <v>316.89839004473288</v>
      </c>
      <c r="F31" s="214">
        <v>279.93388890001791</v>
      </c>
      <c r="G31" s="214">
        <v>291.43907001698881</v>
      </c>
      <c r="H31" s="214">
        <v>292.08938694681126</v>
      </c>
      <c r="I31" s="214">
        <v>298.55637470018604</v>
      </c>
      <c r="J31" s="214">
        <v>258.44743806062189</v>
      </c>
      <c r="K31" s="214"/>
      <c r="L31" s="214"/>
      <c r="M31" s="214"/>
      <c r="N31" s="215"/>
      <c r="O31" s="6"/>
      <c r="P31" s="37">
        <f t="shared" si="4"/>
        <v>289.56075811155978</v>
      </c>
      <c r="R31" s="43"/>
      <c r="S31" s="43"/>
      <c r="U31" s="6"/>
      <c r="V31" s="159">
        <f t="shared" si="5"/>
        <v>575.85811863581034</v>
      </c>
      <c r="W31" s="160">
        <f t="shared" si="5"/>
        <v>563.45534642192774</v>
      </c>
      <c r="X31" s="160">
        <f t="shared" si="5"/>
        <v>567.48309617021789</v>
      </c>
      <c r="Y31" s="160">
        <f t="shared" si="5"/>
        <v>567.70598751040723</v>
      </c>
      <c r="Z31" s="160">
        <f t="shared" si="5"/>
        <v>569.89587749679811</v>
      </c>
      <c r="AA31" s="160">
        <f t="shared" si="5"/>
        <v>555.46923388849348</v>
      </c>
      <c r="AB31" s="160"/>
      <c r="AC31" s="160"/>
      <c r="AD31" s="160"/>
      <c r="AE31" s="161"/>
      <c r="AF31" s="6"/>
      <c r="AG31" s="37">
        <f t="shared" si="6"/>
        <v>566.64461002060909</v>
      </c>
      <c r="AI31" s="43"/>
      <c r="AJ31" s="43"/>
    </row>
    <row r="32" spans="3:36" x14ac:dyDescent="0.25">
      <c r="C32" s="219" t="s">
        <v>20</v>
      </c>
      <c r="D32" s="20"/>
      <c r="E32" s="213">
        <v>439.27428960093374</v>
      </c>
      <c r="F32" s="214">
        <v>399.83619734658271</v>
      </c>
      <c r="G32" s="214">
        <v>376.18986011140521</v>
      </c>
      <c r="H32" s="214">
        <v>465.38771664652137</v>
      </c>
      <c r="I32" s="214">
        <v>374.99979796285737</v>
      </c>
      <c r="J32" s="214">
        <v>371.22254616958759</v>
      </c>
      <c r="K32" s="214"/>
      <c r="L32" s="214"/>
      <c r="M32" s="214"/>
      <c r="N32" s="215"/>
      <c r="O32" s="6"/>
      <c r="P32" s="37">
        <f t="shared" si="4"/>
        <v>404.48506797298131</v>
      </c>
      <c r="R32" s="43"/>
      <c r="S32" s="43"/>
      <c r="U32" s="6"/>
      <c r="V32" s="159">
        <f t="shared" si="5"/>
        <v>608.51240234345983</v>
      </c>
      <c r="W32" s="160">
        <f t="shared" si="5"/>
        <v>599.10549566036991</v>
      </c>
      <c r="X32" s="160">
        <f t="shared" si="5"/>
        <v>593.00939630518053</v>
      </c>
      <c r="Y32" s="160">
        <f t="shared" si="5"/>
        <v>614.2870857409705</v>
      </c>
      <c r="Z32" s="160">
        <f t="shared" si="5"/>
        <v>592.69254872045519</v>
      </c>
      <c r="AA32" s="160">
        <f t="shared" si="5"/>
        <v>591.68017376709463</v>
      </c>
      <c r="AB32" s="160"/>
      <c r="AC32" s="160"/>
      <c r="AD32" s="160"/>
      <c r="AE32" s="161"/>
      <c r="AF32" s="6"/>
      <c r="AG32" s="37">
        <f t="shared" si="6"/>
        <v>599.88118375625515</v>
      </c>
      <c r="AI32" s="43"/>
      <c r="AJ32" s="43"/>
    </row>
    <row r="33" spans="3:36" x14ac:dyDescent="0.25">
      <c r="C33" s="219" t="s">
        <v>22</v>
      </c>
      <c r="D33" s="20"/>
      <c r="E33" s="213">
        <v>423.0528200283083</v>
      </c>
      <c r="F33" s="214">
        <v>339.76469727793346</v>
      </c>
      <c r="G33" s="214">
        <v>405.52800826292861</v>
      </c>
      <c r="H33" s="214">
        <v>371.98636681660139</v>
      </c>
      <c r="I33" s="214">
        <v>402.53407302201936</v>
      </c>
      <c r="J33" s="214">
        <v>465.91481263744009</v>
      </c>
      <c r="K33" s="214"/>
      <c r="L33" s="214"/>
      <c r="M33" s="214"/>
      <c r="N33" s="215"/>
      <c r="O33" s="6"/>
      <c r="P33" s="37">
        <f t="shared" si="4"/>
        <v>401.46346300753856</v>
      </c>
      <c r="R33" s="43"/>
      <c r="S33" s="43"/>
      <c r="U33" s="6"/>
      <c r="V33" s="159">
        <f t="shared" si="5"/>
        <v>604.74970412939456</v>
      </c>
      <c r="W33" s="160">
        <f t="shared" si="5"/>
        <v>582.82533111918042</v>
      </c>
      <c r="X33" s="160">
        <f t="shared" si="5"/>
        <v>600.51899421021869</v>
      </c>
      <c r="Y33" s="160">
        <f t="shared" si="5"/>
        <v>591.88572052591098</v>
      </c>
      <c r="Z33" s="160">
        <f t="shared" si="5"/>
        <v>599.77797467465712</v>
      </c>
      <c r="AA33" s="160">
        <f t="shared" si="5"/>
        <v>614.40028119156284</v>
      </c>
      <c r="AB33" s="160"/>
      <c r="AC33" s="160"/>
      <c r="AD33" s="160"/>
      <c r="AE33" s="161"/>
      <c r="AF33" s="6"/>
      <c r="AG33" s="37">
        <f t="shared" si="6"/>
        <v>599.02633430848744</v>
      </c>
      <c r="AI33" s="43"/>
      <c r="AJ33" s="43"/>
    </row>
    <row r="34" spans="3:36" x14ac:dyDescent="0.25">
      <c r="C34" s="219" t="s">
        <v>21</v>
      </c>
      <c r="D34" s="20"/>
      <c r="E34" s="213">
        <v>521.77313499707179</v>
      </c>
      <c r="F34" s="214">
        <v>446.27946500977635</v>
      </c>
      <c r="G34" s="214">
        <v>559.38506721852252</v>
      </c>
      <c r="H34" s="214">
        <v>511.12887240568961</v>
      </c>
      <c r="I34" s="214">
        <v>562.78318349777203</v>
      </c>
      <c r="J34" s="214">
        <v>400.14436280034755</v>
      </c>
      <c r="K34" s="214"/>
      <c r="L34" s="214"/>
      <c r="M34" s="214"/>
      <c r="N34" s="215"/>
      <c r="O34" s="6"/>
      <c r="P34" s="37">
        <f t="shared" si="4"/>
        <v>500.24901432153001</v>
      </c>
      <c r="R34" s="43"/>
      <c r="S34" s="43"/>
      <c r="U34" s="6"/>
      <c r="V34" s="159">
        <f t="shared" si="5"/>
        <v>625.72328861282176</v>
      </c>
      <c r="W34" s="160">
        <f t="shared" si="5"/>
        <v>610.09453589472059</v>
      </c>
      <c r="X34" s="160">
        <f t="shared" si="5"/>
        <v>632.68380861293338</v>
      </c>
      <c r="Y34" s="160">
        <f t="shared" si="5"/>
        <v>623.66217548961447</v>
      </c>
      <c r="Z34" s="160">
        <f t="shared" si="5"/>
        <v>633.28944447258914</v>
      </c>
      <c r="AA34" s="160">
        <f t="shared" si="5"/>
        <v>599.18253889975847</v>
      </c>
      <c r="AB34" s="160"/>
      <c r="AC34" s="160"/>
      <c r="AD34" s="160"/>
      <c r="AE34" s="161"/>
      <c r="AF34" s="6"/>
      <c r="AG34" s="37">
        <f t="shared" si="6"/>
        <v>620.77263199707295</v>
      </c>
      <c r="AI34" s="43"/>
      <c r="AJ34" s="43"/>
    </row>
    <row r="35" spans="3:36" x14ac:dyDescent="0.25">
      <c r="C35" s="219" t="s">
        <v>23</v>
      </c>
      <c r="D35" s="20"/>
      <c r="E35" s="216">
        <v>275.36252278275009</v>
      </c>
      <c r="F35" s="217">
        <v>256.94515153626128</v>
      </c>
      <c r="G35" s="217">
        <v>286.10478672215783</v>
      </c>
      <c r="H35" s="217">
        <v>302.58339232455791</v>
      </c>
      <c r="I35" s="217">
        <v>292.21624802501333</v>
      </c>
      <c r="J35" s="217">
        <v>306.20302749542731</v>
      </c>
      <c r="K35" s="217">
        <v>325.11817295157954</v>
      </c>
      <c r="L35" s="217">
        <v>281.52703187920127</v>
      </c>
      <c r="M35" s="217">
        <v>259.66409626564837</v>
      </c>
      <c r="N35" s="218">
        <v>291.5873642277719</v>
      </c>
      <c r="O35" s="6"/>
      <c r="P35" s="37">
        <f t="shared" si="4"/>
        <v>287.73117942103687</v>
      </c>
      <c r="R35" s="43"/>
      <c r="S35" s="43"/>
      <c r="U35" s="6"/>
      <c r="V35" s="162">
        <f t="shared" si="5"/>
        <v>561.80884941831368</v>
      </c>
      <c r="W35" s="163">
        <f t="shared" si="5"/>
        <v>554.88626439714835</v>
      </c>
      <c r="X35" s="163">
        <f t="shared" si="5"/>
        <v>565.6358130856886</v>
      </c>
      <c r="Y35" s="163">
        <f t="shared" si="5"/>
        <v>571.2356916584921</v>
      </c>
      <c r="Z35" s="163">
        <f t="shared" si="5"/>
        <v>567.74941036057419</v>
      </c>
      <c r="AA35" s="163">
        <f t="shared" si="5"/>
        <v>572.42483704883136</v>
      </c>
      <c r="AB35" s="163">
        <f>100*LN(K35)</f>
        <v>578.4188725321759</v>
      </c>
      <c r="AC35" s="163">
        <f>100*LN(L35)</f>
        <v>564.02284709594107</v>
      </c>
      <c r="AD35" s="163">
        <f>100*LN(M35)</f>
        <v>555.938885830505</v>
      </c>
      <c r="AE35" s="164">
        <f>100*LN(N35)</f>
        <v>567.5339666643398</v>
      </c>
      <c r="AF35" s="6"/>
      <c r="AG35" s="37">
        <f t="shared" si="6"/>
        <v>565.96554380920099</v>
      </c>
      <c r="AI35" s="43"/>
      <c r="AJ35" s="43"/>
    </row>
    <row r="36" spans="3:36" x14ac:dyDescent="0.25">
      <c r="D36" s="3"/>
      <c r="E36" s="3"/>
      <c r="F36" s="3"/>
      <c r="G36" s="3"/>
      <c r="H36" s="3"/>
      <c r="I36" s="3"/>
      <c r="J36" s="3"/>
      <c r="K36" s="3"/>
      <c r="L36" s="3"/>
      <c r="M36" s="3"/>
      <c r="N36" s="3"/>
      <c r="O36" s="3"/>
      <c r="P36" s="3"/>
      <c r="R36" s="43"/>
      <c r="S36" s="43"/>
      <c r="U36" s="3"/>
      <c r="V36" s="3"/>
      <c r="W36" s="3"/>
      <c r="X36" s="3"/>
      <c r="Y36" s="3"/>
      <c r="Z36" s="3"/>
      <c r="AA36" s="3"/>
      <c r="AB36" s="3"/>
      <c r="AF36" s="3"/>
      <c r="AG36" s="3"/>
      <c r="AI36" s="43"/>
      <c r="AJ36" s="43"/>
    </row>
    <row r="37" spans="3:36" x14ac:dyDescent="0.25">
      <c r="F37" s="6"/>
      <c r="G37" s="6"/>
      <c r="H37" s="6"/>
      <c r="I37" s="6"/>
      <c r="J37" s="6"/>
      <c r="K37" s="6"/>
      <c r="L37" s="6"/>
      <c r="M37" s="6"/>
      <c r="N37" s="6"/>
      <c r="O37" s="41" t="s">
        <v>2</v>
      </c>
      <c r="P37" s="40">
        <f>AVERAGE(P15:P35)</f>
        <v>450.74080848259308</v>
      </c>
      <c r="Q37" s="133" t="s">
        <v>1</v>
      </c>
      <c r="R37" s="43"/>
      <c r="S37" s="43"/>
      <c r="U37" s="6"/>
      <c r="V37" s="6"/>
      <c r="W37" s="6"/>
      <c r="X37" s="6"/>
      <c r="Y37" s="6"/>
      <c r="Z37" s="6"/>
      <c r="AA37" s="6"/>
      <c r="AB37" s="6"/>
      <c r="AC37" s="6"/>
      <c r="AD37" s="6"/>
      <c r="AE37" s="6"/>
      <c r="AF37" s="41" t="s">
        <v>2</v>
      </c>
      <c r="AG37" s="40">
        <f>AVERAGE(AG15:AG35)</f>
        <v>608.05191960810066</v>
      </c>
      <c r="AH37" s="133" t="s">
        <v>1</v>
      </c>
      <c r="AI37" s="43"/>
      <c r="AJ37" s="43"/>
    </row>
    <row r="38" spans="3:36" x14ac:dyDescent="0.25">
      <c r="D38" s="34" t="s">
        <v>2</v>
      </c>
      <c r="E38" s="35">
        <f t="shared" ref="E38:N38" si="7">AVERAGE(E16:E35)</f>
        <v>463.97673275651289</v>
      </c>
      <c r="F38" s="35">
        <f t="shared" si="7"/>
        <v>445.83155738263042</v>
      </c>
      <c r="G38" s="35">
        <f t="shared" si="7"/>
        <v>414.69997342007179</v>
      </c>
      <c r="H38" s="35">
        <f t="shared" si="7"/>
        <v>447.87636166149485</v>
      </c>
      <c r="I38" s="35">
        <f t="shared" si="7"/>
        <v>454.05587812786553</v>
      </c>
      <c r="J38" s="35">
        <f t="shared" si="7"/>
        <v>397.16005707177561</v>
      </c>
      <c r="K38" s="35">
        <f t="shared" si="7"/>
        <v>325.11817295157954</v>
      </c>
      <c r="L38" s="35">
        <f t="shared" si="7"/>
        <v>281.52703187920127</v>
      </c>
      <c r="M38" s="35">
        <f t="shared" si="7"/>
        <v>259.66409626564837</v>
      </c>
      <c r="N38" s="35">
        <f t="shared" si="7"/>
        <v>291.5873642277719</v>
      </c>
      <c r="O38" s="40">
        <f>AVERAGE(E38:N38)</f>
        <v>378.14972257445527</v>
      </c>
      <c r="P38" s="40">
        <f>AVERAGE(E16:N35)</f>
        <v>435.78929691077991</v>
      </c>
      <c r="Q38" s="134">
        <f>STDEV(E38:N38)</f>
        <v>80.241402364342349</v>
      </c>
      <c r="U38" s="34" t="s">
        <v>2</v>
      </c>
      <c r="V38" s="35">
        <f t="shared" ref="V38:AE38" si="8">AVERAGE(V16:V35)</f>
        <v>610.75569795711544</v>
      </c>
      <c r="W38" s="35">
        <f t="shared" si="8"/>
        <v>607.17746925182371</v>
      </c>
      <c r="X38" s="35">
        <f t="shared" si="8"/>
        <v>599.94968083010394</v>
      </c>
      <c r="Y38" s="35">
        <f t="shared" si="8"/>
        <v>607.38156410415581</v>
      </c>
      <c r="Z38" s="35">
        <f t="shared" si="8"/>
        <v>607.74673392396005</v>
      </c>
      <c r="AA38" s="35">
        <f t="shared" si="8"/>
        <v>596.19891758849019</v>
      </c>
      <c r="AB38" s="35">
        <f t="shared" si="8"/>
        <v>578.4188725321759</v>
      </c>
      <c r="AC38" s="35">
        <f t="shared" si="8"/>
        <v>564.02284709594107</v>
      </c>
      <c r="AD38" s="35">
        <f t="shared" si="8"/>
        <v>555.938885830505</v>
      </c>
      <c r="AE38" s="35">
        <f t="shared" si="8"/>
        <v>567.5339666643398</v>
      </c>
      <c r="AF38" s="40">
        <f>AVERAGE(V38:AE38)</f>
        <v>589.51246357786101</v>
      </c>
      <c r="AG38" s="40">
        <f>AVERAGE(V16:AE35)</f>
        <v>604.31128681941232</v>
      </c>
      <c r="AH38" s="135">
        <f>STDEV(V38:AE38)</f>
        <v>20.954428681341895</v>
      </c>
    </row>
    <row r="39" spans="3:36" x14ac:dyDescent="0.25">
      <c r="E39"/>
      <c r="F39"/>
      <c r="G39"/>
      <c r="H39"/>
      <c r="I39"/>
      <c r="J39"/>
      <c r="K39"/>
      <c r="L39"/>
      <c r="M39"/>
      <c r="N39"/>
      <c r="O39" s="130" t="s">
        <v>1</v>
      </c>
      <c r="P39" s="131">
        <f>STDEV(P16:P35)</f>
        <v>108.63786646367591</v>
      </c>
      <c r="Q39" s="132">
        <f>STDEV(E16:N35)</f>
        <v>117.61234424873157</v>
      </c>
      <c r="R39"/>
      <c r="S39"/>
      <c r="T39"/>
      <c r="U39"/>
      <c r="V39"/>
      <c r="W39"/>
      <c r="X39"/>
      <c r="Y39"/>
      <c r="AF39" s="130" t="s">
        <v>1</v>
      </c>
      <c r="AG39" s="135">
        <f>STDEV(AG16:AG35)</f>
        <v>23.546709928344534</v>
      </c>
      <c r="AH39" s="135">
        <f>STDEV(V16:AE35)</f>
        <v>26.033397145908651</v>
      </c>
    </row>
    <row r="40" spans="3:36" x14ac:dyDescent="0.25">
      <c r="C40" s="5"/>
      <c r="D40" s="5"/>
      <c r="E40" s="5"/>
      <c r="F40" s="5"/>
      <c r="G40" s="5"/>
      <c r="H40" s="5"/>
      <c r="I40" s="5"/>
      <c r="J40" s="5"/>
      <c r="K40" s="5"/>
      <c r="L40" s="5"/>
      <c r="M40" s="5"/>
      <c r="N40" s="5"/>
      <c r="O40" s="5"/>
      <c r="S40" s="5"/>
      <c r="T40" s="5"/>
      <c r="U40" s="5"/>
      <c r="V40" s="5"/>
      <c r="W40" s="5"/>
      <c r="X40" s="5"/>
      <c r="Y40" s="5"/>
      <c r="Z40" s="5"/>
      <c r="AA40" s="5"/>
      <c r="AB40" s="5"/>
      <c r="AC40" s="5"/>
      <c r="AD40" s="5"/>
      <c r="AE40" s="5"/>
      <c r="AF40" s="32" t="s">
        <v>54</v>
      </c>
    </row>
    <row r="41" spans="3:36" x14ac:dyDescent="0.25">
      <c r="C41" s="5"/>
      <c r="D41" s="5"/>
      <c r="E41" s="5"/>
      <c r="F41" s="5"/>
      <c r="G41" s="5"/>
      <c r="H41" s="5"/>
      <c r="I41" s="5"/>
      <c r="J41" s="5"/>
      <c r="K41" s="5"/>
      <c r="L41" s="5"/>
      <c r="M41" s="5"/>
      <c r="N41" s="5"/>
      <c r="O41" s="5"/>
      <c r="S41" s="5"/>
      <c r="T41" s="5"/>
      <c r="U41" s="5"/>
      <c r="V41" s="5"/>
      <c r="W41" s="5"/>
      <c r="X41" s="5"/>
      <c r="Y41" s="5"/>
      <c r="Z41" s="5"/>
      <c r="AA41" s="5"/>
      <c r="AB41" s="5"/>
      <c r="AC41" s="5"/>
      <c r="AD41" s="5"/>
      <c r="AE41" s="5"/>
      <c r="AF41" s="41" t="s">
        <v>2</v>
      </c>
      <c r="AG41" s="40">
        <f>EXP(AG37/100)</f>
        <v>437.2561574775637</v>
      </c>
      <c r="AH41" s="133" t="s">
        <v>55</v>
      </c>
    </row>
    <row r="42" spans="3:36" x14ac:dyDescent="0.25">
      <c r="C42" s="5"/>
      <c r="D42" s="5"/>
      <c r="E42" s="5"/>
      <c r="F42" s="5"/>
      <c r="G42" s="5"/>
      <c r="H42" s="5"/>
      <c r="I42" s="5"/>
      <c r="J42" s="5"/>
      <c r="K42" s="5"/>
      <c r="L42" s="5"/>
      <c r="M42" s="5"/>
      <c r="N42" s="5"/>
      <c r="O42" s="5"/>
      <c r="S42" s="5"/>
      <c r="T42" s="5"/>
      <c r="U42" s="5"/>
      <c r="V42" s="5"/>
      <c r="W42" s="5"/>
      <c r="X42" s="5"/>
      <c r="Y42" s="5"/>
      <c r="Z42" s="5"/>
      <c r="AA42" s="5"/>
      <c r="AB42" s="5"/>
      <c r="AC42" s="5"/>
      <c r="AD42" s="5"/>
      <c r="AE42" s="5"/>
      <c r="AF42" s="40">
        <f>EXP(AF38/100)</f>
        <v>363.26210853328291</v>
      </c>
      <c r="AG42" s="40">
        <f>EXP(AG38/100)</f>
        <v>421.20214304338026</v>
      </c>
      <c r="AH42" s="132">
        <f>100*EXP(AH38/100)-100</f>
        <v>23.311598467911068</v>
      </c>
    </row>
    <row r="43" spans="3:36" x14ac:dyDescent="0.25">
      <c r="C43" s="9"/>
      <c r="D43" s="9"/>
      <c r="E43" s="9"/>
      <c r="F43" s="9"/>
      <c r="G43" s="9"/>
      <c r="H43" s="9"/>
      <c r="I43" s="9"/>
      <c r="J43" s="9"/>
      <c r="K43" s="9"/>
      <c r="L43" s="9"/>
      <c r="M43" s="9"/>
      <c r="N43" s="9"/>
      <c r="O43" s="9"/>
      <c r="S43" s="5"/>
      <c r="T43" s="5"/>
      <c r="U43" s="5"/>
      <c r="V43" s="5"/>
      <c r="W43" s="32" t="s">
        <v>150</v>
      </c>
      <c r="X43"/>
      <c r="Y43"/>
      <c r="AE43" s="9"/>
      <c r="AF43" s="130" t="s">
        <v>55</v>
      </c>
      <c r="AG43" s="132">
        <f>100*EXP(AG39/100)-100</f>
        <v>26.549974472387646</v>
      </c>
      <c r="AH43" s="132">
        <f>100*EXP(AH39/100)-100</f>
        <v>29.73632966350047</v>
      </c>
    </row>
    <row r="44" spans="3:36" ht="13.8" thickBot="1" x14ac:dyDescent="0.3">
      <c r="E44"/>
      <c r="F44"/>
      <c r="G44"/>
      <c r="H44"/>
      <c r="I44"/>
      <c r="J44"/>
      <c r="K44"/>
      <c r="L44"/>
      <c r="M44" s="9"/>
      <c r="N44" s="9"/>
      <c r="O44" s="9"/>
      <c r="S44" s="5"/>
      <c r="T44" s="5"/>
      <c r="U44" s="5"/>
      <c r="V44" s="5"/>
      <c r="W44" s="286" t="s">
        <v>145</v>
      </c>
      <c r="X44" s="286"/>
      <c r="Y44" s="286"/>
      <c r="Z44" s="286"/>
      <c r="AA44" s="286"/>
      <c r="AB44" s="286"/>
      <c r="AC44" s="286"/>
      <c r="AD44" s="286"/>
    </row>
    <row r="45" spans="3:36" ht="13.8" thickTop="1" x14ac:dyDescent="0.25">
      <c r="S45"/>
      <c r="T45"/>
      <c r="U45"/>
      <c r="V45"/>
      <c r="W45" s="287" t="s">
        <v>133</v>
      </c>
      <c r="X45" s="288"/>
      <c r="Y45" s="291" t="s">
        <v>134</v>
      </c>
      <c r="Z45" s="293" t="s">
        <v>135</v>
      </c>
      <c r="AA45" s="293" t="s">
        <v>136</v>
      </c>
      <c r="AB45" s="293" t="s">
        <v>137</v>
      </c>
      <c r="AC45" s="293" t="s">
        <v>138</v>
      </c>
      <c r="AD45" s="295"/>
    </row>
    <row r="46" spans="3:36" ht="13.8" thickBot="1" x14ac:dyDescent="0.3">
      <c r="W46" s="289"/>
      <c r="X46" s="290"/>
      <c r="Y46" s="292"/>
      <c r="Z46" s="294"/>
      <c r="AA46" s="294"/>
      <c r="AB46" s="294"/>
      <c r="AC46" s="265" t="s">
        <v>139</v>
      </c>
      <c r="AD46" s="243" t="s">
        <v>140</v>
      </c>
      <c r="AH46" s="241"/>
    </row>
    <row r="47" spans="3:36" ht="13.8" thickTop="1" x14ac:dyDescent="0.25">
      <c r="W47" s="281" t="s">
        <v>141</v>
      </c>
      <c r="X47" s="282"/>
      <c r="Y47" s="244">
        <v>102.59272867112183</v>
      </c>
      <c r="Z47" s="245">
        <v>17.489298398772231</v>
      </c>
      <c r="AA47" s="246">
        <v>5.86602883271315</v>
      </c>
      <c r="AB47" s="247">
        <v>4.4635621181213961E-9</v>
      </c>
      <c r="AC47" s="245">
        <v>77.506654433678861</v>
      </c>
      <c r="AD47" s="248">
        <v>135.79824923539596</v>
      </c>
      <c r="AH47" s="241"/>
    </row>
    <row r="48" spans="3:36" ht="25.2" x14ac:dyDescent="0.25">
      <c r="W48" s="249" t="s">
        <v>142</v>
      </c>
      <c r="X48" s="250" t="s">
        <v>143</v>
      </c>
      <c r="Y48" s="251">
        <v>529.18542964371693</v>
      </c>
      <c r="Z48" s="252">
        <v>179.79017725432621</v>
      </c>
      <c r="AA48" s="253">
        <v>2.9433500635307004</v>
      </c>
      <c r="AB48" s="254">
        <v>3.2468105400138962E-3</v>
      </c>
      <c r="AC48" s="252">
        <v>302.62719205233429</v>
      </c>
      <c r="AD48" s="255">
        <v>925.35378942014427</v>
      </c>
      <c r="AH48" s="241"/>
    </row>
    <row r="49" spans="23:34" ht="25.8" thickBot="1" x14ac:dyDescent="0.3">
      <c r="W49" s="256" t="s">
        <v>146</v>
      </c>
      <c r="X49" s="257" t="s">
        <v>143</v>
      </c>
      <c r="Y49" s="258">
        <v>4.8662192696893722</v>
      </c>
      <c r="Z49" s="259">
        <v>7.790082034015283</v>
      </c>
      <c r="AA49" s="261">
        <v>0.62466855271113897</v>
      </c>
      <c r="AB49" s="261">
        <v>0.53218861675344531</v>
      </c>
      <c r="AC49" s="266">
        <v>0.34964220970411142</v>
      </c>
      <c r="AD49" s="262">
        <v>67.726634037508504</v>
      </c>
      <c r="AH49" s="241"/>
    </row>
    <row r="50" spans="23:34" ht="13.8" thickTop="1" x14ac:dyDescent="0.25">
      <c r="W50" s="283" t="s">
        <v>144</v>
      </c>
      <c r="X50" s="283"/>
      <c r="Y50" s="283"/>
      <c r="Z50" s="283"/>
      <c r="AA50" s="283"/>
      <c r="AB50" s="283"/>
      <c r="AC50" s="283"/>
      <c r="AD50" s="283"/>
      <c r="AH50" s="241"/>
    </row>
    <row r="51" spans="23:34" x14ac:dyDescent="0.25">
      <c r="AH51" s="241"/>
    </row>
    <row r="52" spans="23:34" x14ac:dyDescent="0.25">
      <c r="AH52" s="241"/>
    </row>
  </sheetData>
  <mergeCells count="9">
    <mergeCell ref="W47:X47"/>
    <mergeCell ref="W50:AD50"/>
    <mergeCell ref="W44:AD44"/>
    <mergeCell ref="W45:X46"/>
    <mergeCell ref="Y45:Y46"/>
    <mergeCell ref="Z45:Z46"/>
    <mergeCell ref="AA45:AA46"/>
    <mergeCell ref="AB45:AB46"/>
    <mergeCell ref="AC45:AD45"/>
  </mergeCells>
  <pageMargins left="0.75" right="0.75" top="1" bottom="1" header="0.5" footer="0.5"/>
  <pageSetup paperSize="9"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1"/>
  <sheetViews>
    <sheetView zoomScale="85" zoomScaleNormal="85" workbookViewId="0"/>
  </sheetViews>
  <sheetFormatPr defaultRowHeight="13.2" x14ac:dyDescent="0.25"/>
  <cols>
    <col min="1" max="1" width="8.88671875" style="7"/>
    <col min="2" max="3" width="8.88671875" style="2"/>
    <col min="4" max="4" width="11.6640625" style="2" customWidth="1"/>
    <col min="5" max="5" width="10.21875" style="2" customWidth="1"/>
  </cols>
  <sheetData>
    <row r="1" spans="1:5" x14ac:dyDescent="0.25">
      <c r="A1" s="26" t="s">
        <v>31</v>
      </c>
      <c r="B1" s="27" t="s">
        <v>32</v>
      </c>
      <c r="C1" s="27" t="s">
        <v>45</v>
      </c>
      <c r="D1" s="27" t="s">
        <v>46</v>
      </c>
      <c r="E1" s="27" t="s">
        <v>33</v>
      </c>
    </row>
    <row r="2" spans="1:5" x14ac:dyDescent="0.25">
      <c r="A2" s="25" t="s">
        <v>4</v>
      </c>
      <c r="B2" s="6">
        <v>475.32667427149573</v>
      </c>
      <c r="C2" s="2" t="s">
        <v>35</v>
      </c>
      <c r="D2" s="2" t="s">
        <v>114</v>
      </c>
      <c r="E2" s="6">
        <v>616.40023029614986</v>
      </c>
    </row>
    <row r="3" spans="1:5" x14ac:dyDescent="0.25">
      <c r="A3" s="25" t="s">
        <v>5</v>
      </c>
      <c r="B3" s="6">
        <v>651.80718660875664</v>
      </c>
      <c r="C3" s="2" t="s">
        <v>35</v>
      </c>
      <c r="D3" s="2" t="s">
        <v>114</v>
      </c>
      <c r="E3" s="6">
        <v>647.97487921308891</v>
      </c>
    </row>
    <row r="4" spans="1:5" x14ac:dyDescent="0.25">
      <c r="A4" s="25" t="s">
        <v>6</v>
      </c>
      <c r="B4" s="6">
        <v>320.64043789170898</v>
      </c>
      <c r="C4" s="2" t="s">
        <v>35</v>
      </c>
      <c r="D4" s="2" t="s">
        <v>114</v>
      </c>
      <c r="E4" s="6">
        <v>577.03203641357425</v>
      </c>
    </row>
    <row r="5" spans="1:5" x14ac:dyDescent="0.25">
      <c r="A5" s="25" t="s">
        <v>7</v>
      </c>
      <c r="B5" s="6">
        <v>385.69722727134308</v>
      </c>
      <c r="C5" s="2" t="s">
        <v>35</v>
      </c>
      <c r="D5" s="2" t="s">
        <v>114</v>
      </c>
      <c r="E5" s="6">
        <v>595.50526763663129</v>
      </c>
    </row>
    <row r="6" spans="1:5" x14ac:dyDescent="0.25">
      <c r="A6" s="25" t="s">
        <v>8</v>
      </c>
      <c r="B6" s="6">
        <v>485.99541344560203</v>
      </c>
      <c r="C6" s="2" t="s">
        <v>35</v>
      </c>
      <c r="D6" s="2" t="s">
        <v>114</v>
      </c>
      <c r="E6" s="6">
        <v>618.61991865012328</v>
      </c>
    </row>
    <row r="7" spans="1:5" x14ac:dyDescent="0.25">
      <c r="A7" s="25" t="s">
        <v>9</v>
      </c>
      <c r="B7" s="6">
        <v>512.58382627839433</v>
      </c>
      <c r="C7" s="2" t="s">
        <v>35</v>
      </c>
      <c r="D7" s="2" t="s">
        <v>114</v>
      </c>
      <c r="E7" s="6">
        <v>623.94642611075551</v>
      </c>
    </row>
    <row r="8" spans="1:5" x14ac:dyDescent="0.25">
      <c r="A8" s="25" t="s">
        <v>10</v>
      </c>
      <c r="B8" s="6">
        <v>382.82949687036336</v>
      </c>
      <c r="C8" s="2" t="s">
        <v>35</v>
      </c>
      <c r="D8" s="2" t="s">
        <v>114</v>
      </c>
      <c r="E8" s="6">
        <v>594.75897121753837</v>
      </c>
    </row>
    <row r="9" spans="1:5" x14ac:dyDescent="0.25">
      <c r="A9" s="25" t="s">
        <v>11</v>
      </c>
      <c r="B9" s="6">
        <v>557.19808171051068</v>
      </c>
      <c r="C9" s="2" t="s">
        <v>35</v>
      </c>
      <c r="D9" s="2" t="s">
        <v>114</v>
      </c>
      <c r="E9" s="6">
        <v>632.2920799169126</v>
      </c>
    </row>
    <row r="10" spans="1:5" x14ac:dyDescent="0.25">
      <c r="A10" s="25" t="s">
        <v>12</v>
      </c>
      <c r="B10" s="6">
        <v>397.8174013059176</v>
      </c>
      <c r="C10" s="2" t="s">
        <v>35</v>
      </c>
      <c r="D10" s="2" t="s">
        <v>114</v>
      </c>
      <c r="E10" s="6">
        <v>598.59931093191392</v>
      </c>
    </row>
    <row r="11" spans="1:5" x14ac:dyDescent="0.25">
      <c r="A11" s="25" t="s">
        <v>13</v>
      </c>
      <c r="B11" s="6">
        <v>819.70211089506711</v>
      </c>
      <c r="C11" s="2" t="s">
        <v>35</v>
      </c>
      <c r="D11" s="2" t="s">
        <v>114</v>
      </c>
      <c r="E11" s="6">
        <v>670.8940994860094</v>
      </c>
    </row>
    <row r="12" spans="1:5" x14ac:dyDescent="0.25">
      <c r="A12" s="25" t="s">
        <v>14</v>
      </c>
      <c r="B12" s="6">
        <v>433.57928943384536</v>
      </c>
      <c r="C12" s="2" t="s">
        <v>35</v>
      </c>
      <c r="D12" s="2" t="s">
        <v>114</v>
      </c>
      <c r="E12" s="6">
        <v>607.20746847638532</v>
      </c>
    </row>
    <row r="13" spans="1:5" x14ac:dyDescent="0.25">
      <c r="A13" s="25" t="s">
        <v>15</v>
      </c>
      <c r="B13" s="6">
        <v>371.32223850460889</v>
      </c>
      <c r="C13" s="2" t="s">
        <v>35</v>
      </c>
      <c r="D13" s="2" t="s">
        <v>114</v>
      </c>
      <c r="E13" s="6">
        <v>591.70702530189169</v>
      </c>
    </row>
    <row r="14" spans="1:5" x14ac:dyDescent="0.25">
      <c r="A14" s="25" t="s">
        <v>16</v>
      </c>
      <c r="B14" s="6">
        <v>538.52150430516872</v>
      </c>
      <c r="C14" s="2" t="s">
        <v>35</v>
      </c>
      <c r="D14" s="2" t="s">
        <v>114</v>
      </c>
      <c r="E14" s="6">
        <v>628.88274295134477</v>
      </c>
    </row>
    <row r="15" spans="1:5" x14ac:dyDescent="0.25">
      <c r="A15" s="25" t="s">
        <v>17</v>
      </c>
      <c r="B15" s="6">
        <v>413.1992047488161</v>
      </c>
      <c r="C15" s="2" t="s">
        <v>35</v>
      </c>
      <c r="D15" s="2" t="s">
        <v>114</v>
      </c>
      <c r="E15" s="6">
        <v>602.3929812627988</v>
      </c>
    </row>
    <row r="16" spans="1:5" x14ac:dyDescent="0.25">
      <c r="A16" s="25" t="s">
        <v>18</v>
      </c>
      <c r="B16" s="6">
        <v>556.95340413485917</v>
      </c>
      <c r="C16" s="2" t="s">
        <v>35</v>
      </c>
      <c r="D16" s="2" t="s">
        <v>114</v>
      </c>
      <c r="E16" s="6">
        <v>632.24815813738917</v>
      </c>
    </row>
    <row r="17" spans="1:5" x14ac:dyDescent="0.25">
      <c r="A17" s="25" t="s">
        <v>19</v>
      </c>
      <c r="B17" s="6">
        <v>316.89839004473288</v>
      </c>
      <c r="C17" s="2" t="s">
        <v>35</v>
      </c>
      <c r="D17" s="2" t="s">
        <v>114</v>
      </c>
      <c r="E17" s="6">
        <v>575.85811863581034</v>
      </c>
    </row>
    <row r="18" spans="1:5" x14ac:dyDescent="0.25">
      <c r="A18" s="25" t="s">
        <v>20</v>
      </c>
      <c r="B18" s="6">
        <v>439.27428960093374</v>
      </c>
      <c r="C18" s="2" t="s">
        <v>35</v>
      </c>
      <c r="D18" s="2" t="s">
        <v>114</v>
      </c>
      <c r="E18" s="6">
        <v>608.51240234345983</v>
      </c>
    </row>
    <row r="19" spans="1:5" x14ac:dyDescent="0.25">
      <c r="A19" s="25" t="s">
        <v>22</v>
      </c>
      <c r="B19" s="6">
        <v>423.0528200283083</v>
      </c>
      <c r="C19" s="2" t="s">
        <v>35</v>
      </c>
      <c r="D19" s="2" t="s">
        <v>114</v>
      </c>
      <c r="E19" s="6">
        <v>604.74970412939456</v>
      </c>
    </row>
    <row r="20" spans="1:5" x14ac:dyDescent="0.25">
      <c r="A20" s="25" t="s">
        <v>21</v>
      </c>
      <c r="B20" s="6">
        <v>521.77313499707179</v>
      </c>
      <c r="C20" s="2" t="s">
        <v>35</v>
      </c>
      <c r="D20" s="2" t="s">
        <v>114</v>
      </c>
      <c r="E20" s="6">
        <v>625.72328861282176</v>
      </c>
    </row>
    <row r="21" spans="1:5" x14ac:dyDescent="0.25">
      <c r="A21" s="25" t="s">
        <v>23</v>
      </c>
      <c r="B21" s="6">
        <v>275.36252278275009</v>
      </c>
      <c r="C21" s="2" t="s">
        <v>35</v>
      </c>
      <c r="D21" s="2" t="s">
        <v>114</v>
      </c>
      <c r="E21" s="6">
        <v>561.80884941831368</v>
      </c>
    </row>
    <row r="22" spans="1:5" x14ac:dyDescent="0.25">
      <c r="A22" s="25" t="s">
        <v>4</v>
      </c>
      <c r="B22" s="6">
        <v>498.96096372119013</v>
      </c>
      <c r="C22" s="2" t="s">
        <v>36</v>
      </c>
      <c r="D22" s="2" t="s">
        <v>115</v>
      </c>
      <c r="E22" s="6">
        <v>621.25278636758185</v>
      </c>
    </row>
    <row r="23" spans="1:5" x14ac:dyDescent="0.25">
      <c r="A23" s="25" t="s">
        <v>5</v>
      </c>
      <c r="B23" s="6">
        <v>589.34576302694768</v>
      </c>
      <c r="C23" s="2" t="s">
        <v>36</v>
      </c>
      <c r="D23" s="2" t="s">
        <v>115</v>
      </c>
      <c r="E23" s="6">
        <v>637.90130454161385</v>
      </c>
    </row>
    <row r="24" spans="1:5" x14ac:dyDescent="0.25">
      <c r="A24" s="25" t="s">
        <v>6</v>
      </c>
      <c r="B24" s="6">
        <v>388.9994354818898</v>
      </c>
      <c r="C24" s="2" t="s">
        <v>36</v>
      </c>
      <c r="D24" s="2" t="s">
        <v>115</v>
      </c>
      <c r="E24" s="6">
        <v>596.35778924140254</v>
      </c>
    </row>
    <row r="25" spans="1:5" x14ac:dyDescent="0.25">
      <c r="A25" s="25" t="s">
        <v>7</v>
      </c>
      <c r="B25" s="6">
        <v>356.71910412559561</v>
      </c>
      <c r="C25" s="2" t="s">
        <v>36</v>
      </c>
      <c r="D25" s="2" t="s">
        <v>115</v>
      </c>
      <c r="E25" s="6">
        <v>587.69486488942118</v>
      </c>
    </row>
    <row r="26" spans="1:5" x14ac:dyDescent="0.25">
      <c r="A26" s="25" t="s">
        <v>8</v>
      </c>
      <c r="B26" s="6">
        <v>511.85887279444057</v>
      </c>
      <c r="C26" s="2" t="s">
        <v>36</v>
      </c>
      <c r="D26" s="2" t="s">
        <v>115</v>
      </c>
      <c r="E26" s="6">
        <v>623.80489479707182</v>
      </c>
    </row>
    <row r="27" spans="1:5" x14ac:dyDescent="0.25">
      <c r="A27" s="25" t="s">
        <v>9</v>
      </c>
      <c r="B27" s="6">
        <v>549.99042530787949</v>
      </c>
      <c r="C27" s="2" t="s">
        <v>36</v>
      </c>
      <c r="D27" s="2" t="s">
        <v>115</v>
      </c>
      <c r="E27" s="6">
        <v>630.99008695438579</v>
      </c>
    </row>
    <row r="28" spans="1:5" x14ac:dyDescent="0.25">
      <c r="A28" s="25" t="s">
        <v>10</v>
      </c>
      <c r="B28" s="6">
        <v>462.19491994197648</v>
      </c>
      <c r="C28" s="2" t="s">
        <v>36</v>
      </c>
      <c r="D28" s="2" t="s">
        <v>115</v>
      </c>
      <c r="E28" s="6">
        <v>613.59867067413165</v>
      </c>
    </row>
    <row r="29" spans="1:5" x14ac:dyDescent="0.25">
      <c r="A29" s="25" t="s">
        <v>11</v>
      </c>
      <c r="B29" s="6">
        <v>470.53667906325109</v>
      </c>
      <c r="C29" s="2" t="s">
        <v>36</v>
      </c>
      <c r="D29" s="2" t="s">
        <v>115</v>
      </c>
      <c r="E29" s="6">
        <v>615.38739136133597</v>
      </c>
    </row>
    <row r="30" spans="1:5" x14ac:dyDescent="0.25">
      <c r="A30" s="25" t="s">
        <v>12</v>
      </c>
      <c r="B30" s="6">
        <v>374.1521169784686</v>
      </c>
      <c r="C30" s="2" t="s">
        <v>36</v>
      </c>
      <c r="D30" s="2" t="s">
        <v>115</v>
      </c>
      <c r="E30" s="6">
        <v>592.4662444611306</v>
      </c>
    </row>
    <row r="31" spans="1:5" x14ac:dyDescent="0.25">
      <c r="A31" s="25" t="s">
        <v>13</v>
      </c>
      <c r="B31" s="6">
        <v>696.59997055858105</v>
      </c>
      <c r="C31" s="2" t="s">
        <v>36</v>
      </c>
      <c r="D31" s="2" t="s">
        <v>115</v>
      </c>
      <c r="E31" s="6">
        <v>654.62113156674457</v>
      </c>
    </row>
    <row r="32" spans="1:5" x14ac:dyDescent="0.25">
      <c r="A32" s="25" t="s">
        <v>14</v>
      </c>
      <c r="B32" s="6">
        <v>438.49087670819864</v>
      </c>
      <c r="C32" s="2" t="s">
        <v>36</v>
      </c>
      <c r="D32" s="2" t="s">
        <v>115</v>
      </c>
      <c r="E32" s="6">
        <v>608.33390059132398</v>
      </c>
    </row>
    <row r="33" spans="1:5" x14ac:dyDescent="0.25">
      <c r="A33" s="25" t="s">
        <v>15</v>
      </c>
      <c r="B33" s="6">
        <v>344.21922254034251</v>
      </c>
      <c r="C33" s="2" t="s">
        <v>36</v>
      </c>
      <c r="D33" s="2" t="s">
        <v>115</v>
      </c>
      <c r="E33" s="6">
        <v>584.12787292266012</v>
      </c>
    </row>
    <row r="34" spans="1:5" x14ac:dyDescent="0.25">
      <c r="A34" s="25" t="s">
        <v>16</v>
      </c>
      <c r="B34" s="6">
        <v>511.39108401823421</v>
      </c>
      <c r="C34" s="2" t="s">
        <v>36</v>
      </c>
      <c r="D34" s="2" t="s">
        <v>115</v>
      </c>
      <c r="E34" s="6">
        <v>623.71346282472132</v>
      </c>
    </row>
    <row r="35" spans="1:5" x14ac:dyDescent="0.25">
      <c r="A35" s="25" t="s">
        <v>17</v>
      </c>
      <c r="B35" s="6">
        <v>486.78150971415977</v>
      </c>
      <c r="C35" s="2" t="s">
        <v>36</v>
      </c>
      <c r="D35" s="2" t="s">
        <v>115</v>
      </c>
      <c r="E35" s="6">
        <v>618.78153770603512</v>
      </c>
    </row>
    <row r="36" spans="1:5" x14ac:dyDescent="0.25">
      <c r="A36" s="25" t="s">
        <v>18</v>
      </c>
      <c r="B36" s="6">
        <v>513.63080360087929</v>
      </c>
      <c r="C36" s="2" t="s">
        <v>36</v>
      </c>
      <c r="D36" s="2" t="s">
        <v>115</v>
      </c>
      <c r="E36" s="6">
        <v>624.15047264356815</v>
      </c>
    </row>
    <row r="37" spans="1:5" x14ac:dyDescent="0.25">
      <c r="A37" s="25" t="s">
        <v>19</v>
      </c>
      <c r="B37" s="6">
        <v>279.93388890001791</v>
      </c>
      <c r="C37" s="2" t="s">
        <v>36</v>
      </c>
      <c r="D37" s="2" t="s">
        <v>115</v>
      </c>
      <c r="E37" s="6">
        <v>563.45534642192774</v>
      </c>
    </row>
    <row r="38" spans="1:5" x14ac:dyDescent="0.25">
      <c r="A38" s="25" t="s">
        <v>20</v>
      </c>
      <c r="B38" s="6">
        <v>399.83619734658271</v>
      </c>
      <c r="C38" s="2" t="s">
        <v>36</v>
      </c>
      <c r="D38" s="2" t="s">
        <v>115</v>
      </c>
      <c r="E38" s="6">
        <v>599.10549566036991</v>
      </c>
    </row>
    <row r="39" spans="1:5" x14ac:dyDescent="0.25">
      <c r="A39" s="25" t="s">
        <v>22</v>
      </c>
      <c r="B39" s="6">
        <v>339.76469727793346</v>
      </c>
      <c r="C39" s="2" t="s">
        <v>36</v>
      </c>
      <c r="D39" s="2" t="s">
        <v>115</v>
      </c>
      <c r="E39" s="6">
        <v>582.82533111918042</v>
      </c>
    </row>
    <row r="40" spans="1:5" x14ac:dyDescent="0.25">
      <c r="A40" s="25" t="s">
        <v>21</v>
      </c>
      <c r="B40" s="6">
        <v>446.27946500977635</v>
      </c>
      <c r="C40" s="2" t="s">
        <v>36</v>
      </c>
      <c r="D40" s="2" t="s">
        <v>115</v>
      </c>
      <c r="E40" s="6">
        <v>610.09453589472059</v>
      </c>
    </row>
    <row r="41" spans="1:5" x14ac:dyDescent="0.25">
      <c r="A41" s="25" t="s">
        <v>23</v>
      </c>
      <c r="B41" s="6">
        <v>256.94515153626128</v>
      </c>
      <c r="C41" s="2" t="s">
        <v>36</v>
      </c>
      <c r="D41" s="2" t="s">
        <v>115</v>
      </c>
      <c r="E41" s="6">
        <v>554.88626439714835</v>
      </c>
    </row>
    <row r="42" spans="1:5" x14ac:dyDescent="0.25">
      <c r="A42" s="25" t="s">
        <v>4</v>
      </c>
      <c r="B42" s="6">
        <v>0</v>
      </c>
      <c r="C42" s="2" t="s">
        <v>37</v>
      </c>
      <c r="D42" s="2" t="s">
        <v>116</v>
      </c>
      <c r="E42" s="6">
        <v>0</v>
      </c>
    </row>
    <row r="43" spans="1:5" x14ac:dyDescent="0.25">
      <c r="A43" s="25" t="s">
        <v>5</v>
      </c>
      <c r="B43" s="6">
        <v>0</v>
      </c>
      <c r="C43" s="2" t="s">
        <v>37</v>
      </c>
      <c r="D43" s="2" t="s">
        <v>116</v>
      </c>
      <c r="E43" s="6">
        <v>0</v>
      </c>
    </row>
    <row r="44" spans="1:5" x14ac:dyDescent="0.25">
      <c r="A44" s="25" t="s">
        <v>6</v>
      </c>
      <c r="B44" s="6">
        <v>0</v>
      </c>
      <c r="C44" s="2" t="s">
        <v>37</v>
      </c>
      <c r="D44" s="2" t="s">
        <v>116</v>
      </c>
      <c r="E44" s="6">
        <v>0</v>
      </c>
    </row>
    <row r="45" spans="1:5" x14ac:dyDescent="0.25">
      <c r="A45" s="25" t="s">
        <v>7</v>
      </c>
      <c r="B45" s="6">
        <v>0</v>
      </c>
      <c r="C45" s="2" t="s">
        <v>37</v>
      </c>
      <c r="D45" s="2" t="s">
        <v>116</v>
      </c>
      <c r="E45" s="6">
        <v>0</v>
      </c>
    </row>
    <row r="46" spans="1:5" x14ac:dyDescent="0.25">
      <c r="A46" s="25" t="s">
        <v>8</v>
      </c>
      <c r="B46" s="6">
        <v>0</v>
      </c>
      <c r="C46" s="2" t="s">
        <v>37</v>
      </c>
      <c r="D46" s="2" t="s">
        <v>116</v>
      </c>
      <c r="E46" s="6">
        <v>0</v>
      </c>
    </row>
    <row r="47" spans="1:5" x14ac:dyDescent="0.25">
      <c r="A47" s="25" t="s">
        <v>9</v>
      </c>
      <c r="B47" s="6">
        <v>0</v>
      </c>
      <c r="C47" s="2" t="s">
        <v>37</v>
      </c>
      <c r="D47" s="2" t="s">
        <v>116</v>
      </c>
      <c r="E47" s="6">
        <v>0</v>
      </c>
    </row>
    <row r="48" spans="1:5" x14ac:dyDescent="0.25">
      <c r="A48" s="25" t="s">
        <v>10</v>
      </c>
      <c r="B48" s="6">
        <v>439.00546111357272</v>
      </c>
      <c r="C48" s="2" t="s">
        <v>37</v>
      </c>
      <c r="D48" s="2" t="s">
        <v>116</v>
      </c>
      <c r="E48" s="6">
        <v>608.45118528920398</v>
      </c>
    </row>
    <row r="49" spans="1:5" x14ac:dyDescent="0.25">
      <c r="A49" s="25" t="s">
        <v>11</v>
      </c>
      <c r="B49" s="6">
        <v>401.26481544339458</v>
      </c>
      <c r="C49" s="2" t="s">
        <v>37</v>
      </c>
      <c r="D49" s="2" t="s">
        <v>116</v>
      </c>
      <c r="E49" s="6">
        <v>599.46215969859941</v>
      </c>
    </row>
    <row r="50" spans="1:5" x14ac:dyDescent="0.25">
      <c r="A50" s="25" t="s">
        <v>12</v>
      </c>
      <c r="B50" s="6">
        <v>305.21957765792075</v>
      </c>
      <c r="C50" s="2" t="s">
        <v>37</v>
      </c>
      <c r="D50" s="2" t="s">
        <v>116</v>
      </c>
      <c r="E50" s="6">
        <v>572.10314443317429</v>
      </c>
    </row>
    <row r="51" spans="1:5" x14ac:dyDescent="0.25">
      <c r="A51" s="25" t="s">
        <v>13</v>
      </c>
      <c r="B51" s="6">
        <v>636.84102388508654</v>
      </c>
      <c r="C51" s="2" t="s">
        <v>37</v>
      </c>
      <c r="D51" s="2" t="s">
        <v>116</v>
      </c>
      <c r="E51" s="6">
        <v>645.65200543852677</v>
      </c>
    </row>
    <row r="52" spans="1:5" x14ac:dyDescent="0.25">
      <c r="A52" s="25" t="s">
        <v>14</v>
      </c>
      <c r="B52" s="6">
        <v>336.87598329006323</v>
      </c>
      <c r="C52" s="2" t="s">
        <v>37</v>
      </c>
      <c r="D52" s="2" t="s">
        <v>116</v>
      </c>
      <c r="E52" s="6">
        <v>581.97148605163318</v>
      </c>
    </row>
    <row r="53" spans="1:5" x14ac:dyDescent="0.25">
      <c r="A53" s="25" t="s">
        <v>15</v>
      </c>
      <c r="B53" s="6">
        <v>360.70406139588107</v>
      </c>
      <c r="C53" s="2" t="s">
        <v>37</v>
      </c>
      <c r="D53" s="2" t="s">
        <v>116</v>
      </c>
      <c r="E53" s="6">
        <v>588.80578476073481</v>
      </c>
    </row>
    <row r="54" spans="1:5" x14ac:dyDescent="0.25">
      <c r="A54" s="25" t="s">
        <v>16</v>
      </c>
      <c r="B54" s="6">
        <v>431.69228656815437</v>
      </c>
      <c r="C54" s="2" t="s">
        <v>37</v>
      </c>
      <c r="D54" s="2" t="s">
        <v>116</v>
      </c>
      <c r="E54" s="6">
        <v>606.77130348274579</v>
      </c>
    </row>
    <row r="55" spans="1:5" x14ac:dyDescent="0.25">
      <c r="A55" s="25" t="s">
        <v>17</v>
      </c>
      <c r="B55" s="6">
        <v>433.98754218539904</v>
      </c>
      <c r="C55" s="2" t="s">
        <v>37</v>
      </c>
      <c r="D55" s="2" t="s">
        <v>116</v>
      </c>
      <c r="E55" s="6">
        <v>607.30158290464806</v>
      </c>
    </row>
    <row r="56" spans="1:5" x14ac:dyDescent="0.25">
      <c r="A56" s="25" t="s">
        <v>18</v>
      </c>
      <c r="B56" s="6">
        <v>541.56208400952914</v>
      </c>
      <c r="C56" s="2" t="s">
        <v>37</v>
      </c>
      <c r="D56" s="2" t="s">
        <v>116</v>
      </c>
      <c r="E56" s="6">
        <v>629.44577117795052</v>
      </c>
    </row>
    <row r="57" spans="1:5" x14ac:dyDescent="0.25">
      <c r="A57" s="25" t="s">
        <v>19</v>
      </c>
      <c r="B57" s="6">
        <v>291.43907001698881</v>
      </c>
      <c r="C57" s="2" t="s">
        <v>37</v>
      </c>
      <c r="D57" s="2" t="s">
        <v>116</v>
      </c>
      <c r="E57" s="6">
        <v>567.48309617021789</v>
      </c>
    </row>
    <row r="58" spans="1:5" x14ac:dyDescent="0.25">
      <c r="A58" s="25" t="s">
        <v>20</v>
      </c>
      <c r="B58" s="6">
        <v>376.18986011140521</v>
      </c>
      <c r="C58" s="2" t="s">
        <v>37</v>
      </c>
      <c r="D58" s="2" t="s">
        <v>116</v>
      </c>
      <c r="E58" s="6">
        <v>593.00939630518053</v>
      </c>
    </row>
    <row r="59" spans="1:5" x14ac:dyDescent="0.25">
      <c r="A59" s="25" t="s">
        <v>22</v>
      </c>
      <c r="B59" s="6">
        <v>405.52800826292861</v>
      </c>
      <c r="C59" s="2" t="s">
        <v>37</v>
      </c>
      <c r="D59" s="2" t="s">
        <v>116</v>
      </c>
      <c r="E59" s="6">
        <v>600.51899421021869</v>
      </c>
    </row>
    <row r="60" spans="1:5" x14ac:dyDescent="0.25">
      <c r="A60" s="25" t="s">
        <v>21</v>
      </c>
      <c r="B60" s="6">
        <v>559.38506721852252</v>
      </c>
      <c r="C60" s="2" t="s">
        <v>37</v>
      </c>
      <c r="D60" s="2" t="s">
        <v>116</v>
      </c>
      <c r="E60" s="6">
        <v>632.68380861293338</v>
      </c>
    </row>
    <row r="61" spans="1:5" x14ac:dyDescent="0.25">
      <c r="A61" s="25" t="s">
        <v>23</v>
      </c>
      <c r="B61" s="6">
        <v>286.10478672215783</v>
      </c>
      <c r="C61" s="2" t="s">
        <v>37</v>
      </c>
      <c r="D61" s="2" t="s">
        <v>116</v>
      </c>
      <c r="E61" s="6">
        <v>565.6358130856886</v>
      </c>
    </row>
    <row r="62" spans="1:5" x14ac:dyDescent="0.25">
      <c r="A62" s="25" t="s">
        <v>4</v>
      </c>
      <c r="B62" s="6">
        <v>0</v>
      </c>
      <c r="C62" s="2" t="s">
        <v>38</v>
      </c>
      <c r="D62" s="2" t="s">
        <v>114</v>
      </c>
      <c r="E62" s="6">
        <v>0</v>
      </c>
    </row>
    <row r="63" spans="1:5" x14ac:dyDescent="0.25">
      <c r="A63" s="25" t="s">
        <v>5</v>
      </c>
      <c r="B63" s="6">
        <v>0</v>
      </c>
      <c r="C63" s="2" t="s">
        <v>38</v>
      </c>
      <c r="D63" s="2" t="s">
        <v>114</v>
      </c>
      <c r="E63" s="6">
        <v>0</v>
      </c>
    </row>
    <row r="64" spans="1:5" x14ac:dyDescent="0.25">
      <c r="A64" s="25" t="s">
        <v>6</v>
      </c>
      <c r="B64" s="6">
        <v>0</v>
      </c>
      <c r="C64" s="2" t="s">
        <v>38</v>
      </c>
      <c r="D64" s="2" t="s">
        <v>114</v>
      </c>
      <c r="E64" s="6">
        <v>0</v>
      </c>
    </row>
    <row r="65" spans="1:5" x14ac:dyDescent="0.25">
      <c r="A65" s="25" t="s">
        <v>7</v>
      </c>
      <c r="B65" s="6">
        <v>0</v>
      </c>
      <c r="C65" s="2" t="s">
        <v>38</v>
      </c>
      <c r="D65" s="2" t="s">
        <v>114</v>
      </c>
      <c r="E65" s="6">
        <v>0</v>
      </c>
    </row>
    <row r="66" spans="1:5" x14ac:dyDescent="0.25">
      <c r="A66" s="25" t="s">
        <v>8</v>
      </c>
      <c r="B66" s="6">
        <v>0</v>
      </c>
      <c r="C66" s="2" t="s">
        <v>38</v>
      </c>
      <c r="D66" s="2" t="s">
        <v>114</v>
      </c>
      <c r="E66" s="6">
        <v>0</v>
      </c>
    </row>
    <row r="67" spans="1:5" x14ac:dyDescent="0.25">
      <c r="A67" s="25" t="s">
        <v>9</v>
      </c>
      <c r="B67" s="6">
        <v>0</v>
      </c>
      <c r="C67" s="2" t="s">
        <v>38</v>
      </c>
      <c r="D67" s="2" t="s">
        <v>114</v>
      </c>
      <c r="E67" s="6">
        <v>0</v>
      </c>
    </row>
    <row r="68" spans="1:5" x14ac:dyDescent="0.25">
      <c r="A68" s="25" t="s">
        <v>10</v>
      </c>
      <c r="B68" s="6">
        <v>481.68581731986257</v>
      </c>
      <c r="C68" s="2" t="s">
        <v>38</v>
      </c>
      <c r="D68" s="2" t="s">
        <v>114</v>
      </c>
      <c r="E68" s="6">
        <v>617.72920702296324</v>
      </c>
    </row>
    <row r="69" spans="1:5" x14ac:dyDescent="0.25">
      <c r="A69" s="25" t="s">
        <v>11</v>
      </c>
      <c r="B69" s="6">
        <v>456.02768656272963</v>
      </c>
      <c r="C69" s="2" t="s">
        <v>38</v>
      </c>
      <c r="D69" s="2" t="s">
        <v>114</v>
      </c>
      <c r="E69" s="6">
        <v>612.25535238175723</v>
      </c>
    </row>
    <row r="70" spans="1:5" x14ac:dyDescent="0.25">
      <c r="A70" s="25" t="s">
        <v>12</v>
      </c>
      <c r="B70" s="6">
        <v>397.7294356931904</v>
      </c>
      <c r="C70" s="2" t="s">
        <v>38</v>
      </c>
      <c r="D70" s="2" t="s">
        <v>114</v>
      </c>
      <c r="E70" s="6">
        <v>598.57719642928635</v>
      </c>
    </row>
    <row r="71" spans="1:5" x14ac:dyDescent="0.25">
      <c r="A71" s="25" t="s">
        <v>13</v>
      </c>
      <c r="B71" s="6">
        <v>738.02815088472062</v>
      </c>
      <c r="C71" s="2" t="s">
        <v>38</v>
      </c>
      <c r="D71" s="2" t="s">
        <v>114</v>
      </c>
      <c r="E71" s="6">
        <v>660.39819687032218</v>
      </c>
    </row>
    <row r="72" spans="1:5" x14ac:dyDescent="0.25">
      <c r="A72" s="25" t="s">
        <v>14</v>
      </c>
      <c r="B72" s="6">
        <v>418.24559268320269</v>
      </c>
      <c r="C72" s="2" t="s">
        <v>38</v>
      </c>
      <c r="D72" s="2" t="s">
        <v>114</v>
      </c>
      <c r="E72" s="6">
        <v>603.60688022936677</v>
      </c>
    </row>
    <row r="73" spans="1:5" x14ac:dyDescent="0.25">
      <c r="A73" s="25" t="s">
        <v>15</v>
      </c>
      <c r="B73" s="6">
        <v>363.87887008461479</v>
      </c>
      <c r="C73" s="2" t="s">
        <v>38</v>
      </c>
      <c r="D73" s="2" t="s">
        <v>114</v>
      </c>
      <c r="E73" s="6">
        <v>589.68210377622063</v>
      </c>
    </row>
    <row r="74" spans="1:5" x14ac:dyDescent="0.25">
      <c r="A74" s="25" t="s">
        <v>16</v>
      </c>
      <c r="B74" s="6">
        <v>393.06171903373519</v>
      </c>
      <c r="C74" s="2" t="s">
        <v>38</v>
      </c>
      <c r="D74" s="2" t="s">
        <v>114</v>
      </c>
      <c r="E74" s="6">
        <v>597.39666454262135</v>
      </c>
    </row>
    <row r="75" spans="1:5" x14ac:dyDescent="0.25">
      <c r="A75" s="25" t="s">
        <v>17</v>
      </c>
      <c r="B75" s="6">
        <v>444.94469014311164</v>
      </c>
      <c r="C75" s="2" t="s">
        <v>38</v>
      </c>
      <c r="D75" s="2" t="s">
        <v>114</v>
      </c>
      <c r="E75" s="6">
        <v>609.79499826281403</v>
      </c>
    </row>
    <row r="76" spans="1:5" x14ac:dyDescent="0.25">
      <c r="A76" s="25" t="s">
        <v>18</v>
      </c>
      <c r="B76" s="6">
        <v>633.49136571557835</v>
      </c>
      <c r="C76" s="2" t="s">
        <v>38</v>
      </c>
      <c r="D76" s="2" t="s">
        <v>114</v>
      </c>
      <c r="E76" s="6">
        <v>645.12463701743548</v>
      </c>
    </row>
    <row r="77" spans="1:5" x14ac:dyDescent="0.25">
      <c r="A77" s="25" t="s">
        <v>19</v>
      </c>
      <c r="B77" s="6">
        <v>292.08938694681126</v>
      </c>
      <c r="C77" s="2" t="s">
        <v>38</v>
      </c>
      <c r="D77" s="2" t="s">
        <v>114</v>
      </c>
      <c r="E77" s="6">
        <v>567.70598751040723</v>
      </c>
    </row>
    <row r="78" spans="1:5" x14ac:dyDescent="0.25">
      <c r="A78" s="25" t="s">
        <v>20</v>
      </c>
      <c r="B78" s="6">
        <v>465.38771664652137</v>
      </c>
      <c r="C78" s="2" t="s">
        <v>38</v>
      </c>
      <c r="D78" s="2" t="s">
        <v>114</v>
      </c>
      <c r="E78" s="6">
        <v>614.2870857409705</v>
      </c>
    </row>
    <row r="79" spans="1:5" x14ac:dyDescent="0.25">
      <c r="A79" s="25" t="s">
        <v>22</v>
      </c>
      <c r="B79" s="6">
        <v>371.98636681660139</v>
      </c>
      <c r="C79" s="2" t="s">
        <v>38</v>
      </c>
      <c r="D79" s="2" t="s">
        <v>114</v>
      </c>
      <c r="E79" s="6">
        <v>591.88572052591098</v>
      </c>
    </row>
    <row r="80" spans="1:5" x14ac:dyDescent="0.25">
      <c r="A80" s="25" t="s">
        <v>21</v>
      </c>
      <c r="B80" s="6">
        <v>511.12887240568961</v>
      </c>
      <c r="C80" s="2" t="s">
        <v>38</v>
      </c>
      <c r="D80" s="2" t="s">
        <v>114</v>
      </c>
      <c r="E80" s="6">
        <v>623.66217548961447</v>
      </c>
    </row>
    <row r="81" spans="1:5" x14ac:dyDescent="0.25">
      <c r="A81" s="25" t="s">
        <v>23</v>
      </c>
      <c r="B81" s="6">
        <v>302.58339232455791</v>
      </c>
      <c r="C81" s="2" t="s">
        <v>38</v>
      </c>
      <c r="D81" s="2" t="s">
        <v>114</v>
      </c>
      <c r="E81" s="6">
        <v>571.2356916584921</v>
      </c>
    </row>
    <row r="82" spans="1:5" x14ac:dyDescent="0.25">
      <c r="A82" s="25" t="s">
        <v>4</v>
      </c>
      <c r="B82" s="6">
        <v>0</v>
      </c>
      <c r="C82" s="2" t="s">
        <v>39</v>
      </c>
      <c r="D82" s="2" t="s">
        <v>115</v>
      </c>
      <c r="E82" s="6">
        <v>0</v>
      </c>
    </row>
    <row r="83" spans="1:5" x14ac:dyDescent="0.25">
      <c r="A83" s="25" t="s">
        <v>5</v>
      </c>
      <c r="B83" s="6">
        <v>0</v>
      </c>
      <c r="C83" s="2" t="s">
        <v>39</v>
      </c>
      <c r="D83" s="2" t="s">
        <v>115</v>
      </c>
      <c r="E83" s="6">
        <v>0</v>
      </c>
    </row>
    <row r="84" spans="1:5" x14ac:dyDescent="0.25">
      <c r="A84" s="25" t="s">
        <v>6</v>
      </c>
      <c r="B84" s="6">
        <v>0</v>
      </c>
      <c r="C84" s="2" t="s">
        <v>39</v>
      </c>
      <c r="D84" s="2" t="s">
        <v>115</v>
      </c>
      <c r="E84" s="6">
        <v>0</v>
      </c>
    </row>
    <row r="85" spans="1:5" x14ac:dyDescent="0.25">
      <c r="A85" s="25" t="s">
        <v>7</v>
      </c>
      <c r="B85" s="6">
        <v>0</v>
      </c>
      <c r="C85" s="2" t="s">
        <v>39</v>
      </c>
      <c r="D85" s="2" t="s">
        <v>115</v>
      </c>
      <c r="E85" s="6">
        <v>0</v>
      </c>
    </row>
    <row r="86" spans="1:5" x14ac:dyDescent="0.25">
      <c r="A86" s="25" t="s">
        <v>8</v>
      </c>
      <c r="B86" s="6">
        <v>0</v>
      </c>
      <c r="C86" s="2" t="s">
        <v>39</v>
      </c>
      <c r="D86" s="2" t="s">
        <v>115</v>
      </c>
      <c r="E86" s="6">
        <v>0</v>
      </c>
    </row>
    <row r="87" spans="1:5" x14ac:dyDescent="0.25">
      <c r="A87" s="25" t="s">
        <v>9</v>
      </c>
      <c r="B87" s="6">
        <v>0</v>
      </c>
      <c r="C87" s="2" t="s">
        <v>39</v>
      </c>
      <c r="D87" s="2" t="s">
        <v>115</v>
      </c>
      <c r="E87" s="6">
        <v>0</v>
      </c>
    </row>
    <row r="88" spans="1:5" x14ac:dyDescent="0.25">
      <c r="A88" s="25" t="s">
        <v>10</v>
      </c>
      <c r="B88" s="6">
        <v>640.14876215065715</v>
      </c>
      <c r="C88" s="2" t="s">
        <v>39</v>
      </c>
      <c r="D88" s="2" t="s">
        <v>115</v>
      </c>
      <c r="E88" s="6">
        <v>646.17005902039284</v>
      </c>
    </row>
    <row r="89" spans="1:5" x14ac:dyDescent="0.25">
      <c r="A89" s="25" t="s">
        <v>11</v>
      </c>
      <c r="B89" s="6">
        <v>465.30671418037213</v>
      </c>
      <c r="C89" s="2" t="s">
        <v>39</v>
      </c>
      <c r="D89" s="2" t="s">
        <v>115</v>
      </c>
      <c r="E89" s="6">
        <v>614.26967885345277</v>
      </c>
    </row>
    <row r="90" spans="1:5" x14ac:dyDescent="0.25">
      <c r="A90" s="25" t="s">
        <v>12</v>
      </c>
      <c r="B90" s="6">
        <v>335.30808608831637</v>
      </c>
      <c r="C90" s="2" t="s">
        <v>39</v>
      </c>
      <c r="D90" s="2" t="s">
        <v>115</v>
      </c>
      <c r="E90" s="6">
        <v>581.50497691620603</v>
      </c>
    </row>
    <row r="91" spans="1:5" x14ac:dyDescent="0.25">
      <c r="A91" s="25" t="s">
        <v>13</v>
      </c>
      <c r="B91" s="6">
        <v>758.22047139134395</v>
      </c>
      <c r="C91" s="2" t="s">
        <v>39</v>
      </c>
      <c r="D91" s="2" t="s">
        <v>115</v>
      </c>
      <c r="E91" s="6">
        <v>663.09742027063248</v>
      </c>
    </row>
    <row r="92" spans="1:5" x14ac:dyDescent="0.25">
      <c r="A92" s="25" t="s">
        <v>14</v>
      </c>
      <c r="B92" s="6">
        <v>438.65041357454646</v>
      </c>
      <c r="C92" s="2" t="s">
        <v>39</v>
      </c>
      <c r="D92" s="2" t="s">
        <v>115</v>
      </c>
      <c r="E92" s="6">
        <v>608.3702771408889</v>
      </c>
    </row>
    <row r="93" spans="1:5" x14ac:dyDescent="0.25">
      <c r="A93" s="25" t="s">
        <v>15</v>
      </c>
      <c r="B93" s="6">
        <v>377.10249974704601</v>
      </c>
      <c r="C93" s="2" t="s">
        <v>39</v>
      </c>
      <c r="D93" s="2" t="s">
        <v>115</v>
      </c>
      <c r="E93" s="6">
        <v>593.2517033112789</v>
      </c>
    </row>
    <row r="94" spans="1:5" x14ac:dyDescent="0.25">
      <c r="A94" s="25" t="s">
        <v>16</v>
      </c>
      <c r="B94" s="6">
        <v>399.40846170893167</v>
      </c>
      <c r="C94" s="2" t="s">
        <v>39</v>
      </c>
      <c r="D94" s="2" t="s">
        <v>115</v>
      </c>
      <c r="E94" s="6">
        <v>598.99846068087004</v>
      </c>
    </row>
    <row r="95" spans="1:5" x14ac:dyDescent="0.25">
      <c r="A95" s="25" t="s">
        <v>17</v>
      </c>
      <c r="B95" s="6">
        <v>385.39716794374999</v>
      </c>
      <c r="C95" s="2" t="s">
        <v>39</v>
      </c>
      <c r="D95" s="2" t="s">
        <v>115</v>
      </c>
      <c r="E95" s="6">
        <v>595.42744075976623</v>
      </c>
    </row>
    <row r="96" spans="1:5" x14ac:dyDescent="0.25">
      <c r="A96" s="25" t="s">
        <v>18</v>
      </c>
      <c r="B96" s="6">
        <v>626.15003979730523</v>
      </c>
      <c r="C96" s="2" t="s">
        <v>39</v>
      </c>
      <c r="D96" s="2" t="s">
        <v>115</v>
      </c>
      <c r="E96" s="6">
        <v>643.95900225687797</v>
      </c>
    </row>
    <row r="97" spans="1:5" x14ac:dyDescent="0.25">
      <c r="A97" s="25" t="s">
        <v>19</v>
      </c>
      <c r="B97" s="6">
        <v>298.55637470018604</v>
      </c>
      <c r="C97" s="2" t="s">
        <v>39</v>
      </c>
      <c r="D97" s="2" t="s">
        <v>115</v>
      </c>
      <c r="E97" s="6">
        <v>569.89587749679811</v>
      </c>
    </row>
    <row r="98" spans="1:5" x14ac:dyDescent="0.25">
      <c r="A98" s="25" t="s">
        <v>20</v>
      </c>
      <c r="B98" s="6">
        <v>374.99979796285737</v>
      </c>
      <c r="C98" s="2" t="s">
        <v>39</v>
      </c>
      <c r="D98" s="2" t="s">
        <v>115</v>
      </c>
      <c r="E98" s="6">
        <v>592.69254872045519</v>
      </c>
    </row>
    <row r="99" spans="1:5" x14ac:dyDescent="0.25">
      <c r="A99" s="25" t="s">
        <v>22</v>
      </c>
      <c r="B99" s="6">
        <v>402.53407302201936</v>
      </c>
      <c r="C99" s="2" t="s">
        <v>39</v>
      </c>
      <c r="D99" s="2" t="s">
        <v>115</v>
      </c>
      <c r="E99" s="6">
        <v>599.77797467465712</v>
      </c>
    </row>
    <row r="100" spans="1:5" x14ac:dyDescent="0.25">
      <c r="A100" s="25" t="s">
        <v>21</v>
      </c>
      <c r="B100" s="6">
        <v>562.78318349777203</v>
      </c>
      <c r="C100" s="2" t="s">
        <v>39</v>
      </c>
      <c r="D100" s="2" t="s">
        <v>115</v>
      </c>
      <c r="E100" s="6">
        <v>633.28944447258914</v>
      </c>
    </row>
    <row r="101" spans="1:5" x14ac:dyDescent="0.25">
      <c r="A101" s="25" t="s">
        <v>23</v>
      </c>
      <c r="B101" s="6">
        <v>292.21624802501333</v>
      </c>
      <c r="C101" s="2" t="s">
        <v>39</v>
      </c>
      <c r="D101" s="2" t="s">
        <v>115</v>
      </c>
      <c r="E101" s="6">
        <v>567.74941036057419</v>
      </c>
    </row>
    <row r="102" spans="1:5" x14ac:dyDescent="0.25">
      <c r="A102" s="25" t="s">
        <v>4</v>
      </c>
      <c r="B102" s="6">
        <v>0</v>
      </c>
      <c r="C102" s="2" t="s">
        <v>40</v>
      </c>
      <c r="D102" s="2" t="s">
        <v>116</v>
      </c>
      <c r="E102" s="6">
        <v>0</v>
      </c>
    </row>
    <row r="103" spans="1:5" x14ac:dyDescent="0.25">
      <c r="A103" s="25" t="s">
        <v>5</v>
      </c>
      <c r="B103" s="6">
        <v>0</v>
      </c>
      <c r="C103" s="2" t="s">
        <v>40</v>
      </c>
      <c r="D103" s="2" t="s">
        <v>116</v>
      </c>
      <c r="E103" s="6">
        <v>0</v>
      </c>
    </row>
    <row r="104" spans="1:5" x14ac:dyDescent="0.25">
      <c r="A104" s="25" t="s">
        <v>6</v>
      </c>
      <c r="B104" s="6">
        <v>0</v>
      </c>
      <c r="C104" s="2" t="s">
        <v>40</v>
      </c>
      <c r="D104" s="2" t="s">
        <v>116</v>
      </c>
      <c r="E104" s="6">
        <v>0</v>
      </c>
    </row>
    <row r="105" spans="1:5" x14ac:dyDescent="0.25">
      <c r="A105" s="25" t="s">
        <v>7</v>
      </c>
      <c r="B105" s="6">
        <v>0</v>
      </c>
      <c r="C105" s="2" t="s">
        <v>40</v>
      </c>
      <c r="D105" s="2" t="s">
        <v>116</v>
      </c>
      <c r="E105" s="6">
        <v>0</v>
      </c>
    </row>
    <row r="106" spans="1:5" x14ac:dyDescent="0.25">
      <c r="A106" s="25" t="s">
        <v>8</v>
      </c>
      <c r="B106" s="6">
        <v>0</v>
      </c>
      <c r="C106" s="2" t="s">
        <v>40</v>
      </c>
      <c r="D106" s="2" t="s">
        <v>116</v>
      </c>
      <c r="E106" s="6">
        <v>0</v>
      </c>
    </row>
    <row r="107" spans="1:5" x14ac:dyDescent="0.25">
      <c r="A107" s="25" t="s">
        <v>9</v>
      </c>
      <c r="B107" s="6">
        <v>0</v>
      </c>
      <c r="C107" s="2" t="s">
        <v>40</v>
      </c>
      <c r="D107" s="2" t="s">
        <v>116</v>
      </c>
      <c r="E107" s="6">
        <v>0</v>
      </c>
    </row>
    <row r="108" spans="1:5" x14ac:dyDescent="0.25">
      <c r="A108" s="25" t="s">
        <v>10</v>
      </c>
      <c r="B108" s="6">
        <v>0</v>
      </c>
      <c r="C108" s="2" t="s">
        <v>40</v>
      </c>
      <c r="D108" s="2" t="s">
        <v>116</v>
      </c>
      <c r="E108" s="6">
        <v>0</v>
      </c>
    </row>
    <row r="109" spans="1:5" x14ac:dyDescent="0.25">
      <c r="A109" s="25" t="s">
        <v>11</v>
      </c>
      <c r="B109" s="6">
        <v>0</v>
      </c>
      <c r="C109" s="2" t="s">
        <v>40</v>
      </c>
      <c r="D109" s="2" t="s">
        <v>116</v>
      </c>
      <c r="E109" s="6">
        <v>0</v>
      </c>
    </row>
    <row r="110" spans="1:5" x14ac:dyDescent="0.25">
      <c r="A110" s="25" t="s">
        <v>12</v>
      </c>
      <c r="B110" s="6">
        <v>0</v>
      </c>
      <c r="C110" s="2" t="s">
        <v>40</v>
      </c>
      <c r="D110" s="2" t="s">
        <v>116</v>
      </c>
      <c r="E110" s="6">
        <v>0</v>
      </c>
    </row>
    <row r="111" spans="1:5" x14ac:dyDescent="0.25">
      <c r="A111" s="25" t="s">
        <v>13</v>
      </c>
      <c r="B111" s="6">
        <v>0</v>
      </c>
      <c r="C111" s="2" t="s">
        <v>40</v>
      </c>
      <c r="D111" s="2" t="s">
        <v>116</v>
      </c>
      <c r="E111" s="6">
        <v>0</v>
      </c>
    </row>
    <row r="112" spans="1:5" x14ac:dyDescent="0.25">
      <c r="A112" s="25" t="s">
        <v>14</v>
      </c>
      <c r="B112" s="6">
        <v>0</v>
      </c>
      <c r="C112" s="2" t="s">
        <v>40</v>
      </c>
      <c r="D112" s="2" t="s">
        <v>116</v>
      </c>
      <c r="E112" s="6">
        <v>0</v>
      </c>
    </row>
    <row r="113" spans="1:5" x14ac:dyDescent="0.25">
      <c r="A113" s="25" t="s">
        <v>15</v>
      </c>
      <c r="B113" s="6">
        <v>0</v>
      </c>
      <c r="C113" s="2" t="s">
        <v>40</v>
      </c>
      <c r="D113" s="2" t="s">
        <v>116</v>
      </c>
      <c r="E113" s="6">
        <v>0</v>
      </c>
    </row>
    <row r="114" spans="1:5" x14ac:dyDescent="0.25">
      <c r="A114" s="25" t="s">
        <v>16</v>
      </c>
      <c r="B114" s="6">
        <v>434.96320648046452</v>
      </c>
      <c r="C114" s="2" t="s">
        <v>40</v>
      </c>
      <c r="D114" s="2" t="s">
        <v>116</v>
      </c>
      <c r="E114" s="6">
        <v>607.5261444707827</v>
      </c>
    </row>
    <row r="115" spans="1:5" x14ac:dyDescent="0.25">
      <c r="A115" s="25" t="s">
        <v>17</v>
      </c>
      <c r="B115" s="6">
        <v>408.78592671566179</v>
      </c>
      <c r="C115" s="2" t="s">
        <v>40</v>
      </c>
      <c r="D115" s="2" t="s">
        <v>116</v>
      </c>
      <c r="E115" s="6">
        <v>601.31916124545967</v>
      </c>
    </row>
    <row r="116" spans="1:5" x14ac:dyDescent="0.25">
      <c r="A116" s="25" t="s">
        <v>18</v>
      </c>
      <c r="B116" s="6">
        <v>531.59913621465432</v>
      </c>
      <c r="C116" s="2" t="s">
        <v>40</v>
      </c>
      <c r="D116" s="2" t="s">
        <v>116</v>
      </c>
      <c r="E116" s="6">
        <v>627.58897019593917</v>
      </c>
    </row>
    <row r="117" spans="1:5" x14ac:dyDescent="0.25">
      <c r="A117" s="25" t="s">
        <v>19</v>
      </c>
      <c r="B117" s="6">
        <v>258.44743806062189</v>
      </c>
      <c r="C117" s="2" t="s">
        <v>40</v>
      </c>
      <c r="D117" s="2" t="s">
        <v>116</v>
      </c>
      <c r="E117" s="6">
        <v>555.46923388849348</v>
      </c>
    </row>
    <row r="118" spans="1:5" x14ac:dyDescent="0.25">
      <c r="A118" s="25" t="s">
        <v>20</v>
      </c>
      <c r="B118" s="6">
        <v>371.22254616958759</v>
      </c>
      <c r="C118" s="2" t="s">
        <v>40</v>
      </c>
      <c r="D118" s="2" t="s">
        <v>116</v>
      </c>
      <c r="E118" s="6">
        <v>591.68017376709463</v>
      </c>
    </row>
    <row r="119" spans="1:5" x14ac:dyDescent="0.25">
      <c r="A119" s="25" t="s">
        <v>22</v>
      </c>
      <c r="B119" s="6">
        <v>465.91481263744009</v>
      </c>
      <c r="C119" s="2" t="s">
        <v>40</v>
      </c>
      <c r="D119" s="2" t="s">
        <v>116</v>
      </c>
      <c r="E119" s="6">
        <v>614.40028119156284</v>
      </c>
    </row>
    <row r="120" spans="1:5" x14ac:dyDescent="0.25">
      <c r="A120" s="25" t="s">
        <v>21</v>
      </c>
      <c r="B120" s="6">
        <v>400.14436280034755</v>
      </c>
      <c r="C120" s="2" t="s">
        <v>40</v>
      </c>
      <c r="D120" s="2" t="s">
        <v>116</v>
      </c>
      <c r="E120" s="6">
        <v>599.18253889975847</v>
      </c>
    </row>
    <row r="121" spans="1:5" x14ac:dyDescent="0.25">
      <c r="A121" s="25" t="s">
        <v>23</v>
      </c>
      <c r="B121" s="6">
        <v>306.20302749542731</v>
      </c>
      <c r="C121" s="2" t="s">
        <v>40</v>
      </c>
      <c r="D121" s="2" t="s">
        <v>116</v>
      </c>
      <c r="E121" s="6">
        <v>572.42483704883136</v>
      </c>
    </row>
    <row r="122" spans="1:5" x14ac:dyDescent="0.25">
      <c r="A122" s="25" t="s">
        <v>4</v>
      </c>
      <c r="B122" s="6">
        <v>0</v>
      </c>
      <c r="C122" s="2" t="s">
        <v>41</v>
      </c>
      <c r="D122" s="2" t="s">
        <v>114</v>
      </c>
      <c r="E122" s="6">
        <v>0</v>
      </c>
    </row>
    <row r="123" spans="1:5" x14ac:dyDescent="0.25">
      <c r="A123" s="25" t="s">
        <v>5</v>
      </c>
      <c r="B123" s="6">
        <v>0</v>
      </c>
      <c r="C123" s="2" t="s">
        <v>41</v>
      </c>
      <c r="D123" s="2" t="s">
        <v>114</v>
      </c>
      <c r="E123" s="6">
        <v>0</v>
      </c>
    </row>
    <row r="124" spans="1:5" x14ac:dyDescent="0.25">
      <c r="A124" s="25" t="s">
        <v>6</v>
      </c>
      <c r="B124" s="6">
        <v>0</v>
      </c>
      <c r="C124" s="2" t="s">
        <v>41</v>
      </c>
      <c r="D124" s="2" t="s">
        <v>114</v>
      </c>
      <c r="E124" s="6">
        <v>0</v>
      </c>
    </row>
    <row r="125" spans="1:5" x14ac:dyDescent="0.25">
      <c r="A125" s="25" t="s">
        <v>7</v>
      </c>
      <c r="B125" s="6">
        <v>0</v>
      </c>
      <c r="C125" s="2" t="s">
        <v>41</v>
      </c>
      <c r="D125" s="2" t="s">
        <v>114</v>
      </c>
      <c r="E125" s="6">
        <v>0</v>
      </c>
    </row>
    <row r="126" spans="1:5" x14ac:dyDescent="0.25">
      <c r="A126" s="25" t="s">
        <v>8</v>
      </c>
      <c r="B126" s="6">
        <v>0</v>
      </c>
      <c r="C126" s="2" t="s">
        <v>41</v>
      </c>
      <c r="D126" s="2" t="s">
        <v>114</v>
      </c>
      <c r="E126" s="6">
        <v>0</v>
      </c>
    </row>
    <row r="127" spans="1:5" x14ac:dyDescent="0.25">
      <c r="A127" s="25" t="s">
        <v>9</v>
      </c>
      <c r="B127" s="6">
        <v>0</v>
      </c>
      <c r="C127" s="2" t="s">
        <v>41</v>
      </c>
      <c r="D127" s="2" t="s">
        <v>114</v>
      </c>
      <c r="E127" s="6">
        <v>0</v>
      </c>
    </row>
    <row r="128" spans="1:5" x14ac:dyDescent="0.25">
      <c r="A128" s="25" t="s">
        <v>10</v>
      </c>
      <c r="B128" s="6">
        <v>0</v>
      </c>
      <c r="C128" s="2" t="s">
        <v>41</v>
      </c>
      <c r="D128" s="2" t="s">
        <v>114</v>
      </c>
      <c r="E128" s="6">
        <v>0</v>
      </c>
    </row>
    <row r="129" spans="1:5" x14ac:dyDescent="0.25">
      <c r="A129" s="25" t="s">
        <v>11</v>
      </c>
      <c r="B129" s="6">
        <v>0</v>
      </c>
      <c r="C129" s="2" t="s">
        <v>41</v>
      </c>
      <c r="D129" s="2" t="s">
        <v>114</v>
      </c>
      <c r="E129" s="6">
        <v>0</v>
      </c>
    </row>
    <row r="130" spans="1:5" x14ac:dyDescent="0.25">
      <c r="A130" s="25" t="s">
        <v>12</v>
      </c>
      <c r="B130" s="6">
        <v>0</v>
      </c>
      <c r="C130" s="2" t="s">
        <v>41</v>
      </c>
      <c r="D130" s="2" t="s">
        <v>114</v>
      </c>
      <c r="E130" s="6">
        <v>0</v>
      </c>
    </row>
    <row r="131" spans="1:5" x14ac:dyDescent="0.25">
      <c r="A131" s="25" t="s">
        <v>13</v>
      </c>
      <c r="B131" s="6">
        <v>0</v>
      </c>
      <c r="C131" s="2" t="s">
        <v>41</v>
      </c>
      <c r="D131" s="2" t="s">
        <v>114</v>
      </c>
      <c r="E131" s="6">
        <v>0</v>
      </c>
    </row>
    <row r="132" spans="1:5" x14ac:dyDescent="0.25">
      <c r="A132" s="25" t="s">
        <v>14</v>
      </c>
      <c r="B132" s="6">
        <v>0</v>
      </c>
      <c r="C132" s="2" t="s">
        <v>41</v>
      </c>
      <c r="D132" s="2" t="s">
        <v>114</v>
      </c>
      <c r="E132" s="6">
        <v>0</v>
      </c>
    </row>
    <row r="133" spans="1:5" x14ac:dyDescent="0.25">
      <c r="A133" s="25" t="s">
        <v>15</v>
      </c>
      <c r="B133" s="6">
        <v>0</v>
      </c>
      <c r="C133" s="2" t="s">
        <v>41</v>
      </c>
      <c r="D133" s="2" t="s">
        <v>114</v>
      </c>
      <c r="E133" s="6">
        <v>0</v>
      </c>
    </row>
    <row r="134" spans="1:5" x14ac:dyDescent="0.25">
      <c r="A134" s="25" t="s">
        <v>16</v>
      </c>
      <c r="B134" s="6">
        <v>0</v>
      </c>
      <c r="C134" s="2" t="s">
        <v>41</v>
      </c>
      <c r="D134" s="2" t="s">
        <v>114</v>
      </c>
      <c r="E134" s="6">
        <v>0</v>
      </c>
    </row>
    <row r="135" spans="1:5" x14ac:dyDescent="0.25">
      <c r="A135" s="25" t="s">
        <v>17</v>
      </c>
      <c r="B135" s="6">
        <v>0</v>
      </c>
      <c r="C135" s="2" t="s">
        <v>41</v>
      </c>
      <c r="D135" s="2" t="s">
        <v>114</v>
      </c>
      <c r="E135" s="6">
        <v>0</v>
      </c>
    </row>
    <row r="136" spans="1:5" x14ac:dyDescent="0.25">
      <c r="A136" s="25" t="s">
        <v>18</v>
      </c>
      <c r="B136" s="6">
        <v>0</v>
      </c>
      <c r="C136" s="2" t="s">
        <v>41</v>
      </c>
      <c r="D136" s="2" t="s">
        <v>114</v>
      </c>
      <c r="E136" s="6">
        <v>0</v>
      </c>
    </row>
    <row r="137" spans="1:5" x14ac:dyDescent="0.25">
      <c r="A137" s="25" t="s">
        <v>19</v>
      </c>
      <c r="B137" s="6">
        <v>0</v>
      </c>
      <c r="C137" s="2" t="s">
        <v>41</v>
      </c>
      <c r="D137" s="2" t="s">
        <v>114</v>
      </c>
      <c r="E137" s="6">
        <v>0</v>
      </c>
    </row>
    <row r="138" spans="1:5" x14ac:dyDescent="0.25">
      <c r="A138" s="25" t="s">
        <v>20</v>
      </c>
      <c r="B138" s="6">
        <v>0</v>
      </c>
      <c r="C138" s="2" t="s">
        <v>41</v>
      </c>
      <c r="D138" s="2" t="s">
        <v>114</v>
      </c>
      <c r="E138" s="6">
        <v>0</v>
      </c>
    </row>
    <row r="139" spans="1:5" x14ac:dyDescent="0.25">
      <c r="A139" s="25" t="s">
        <v>22</v>
      </c>
      <c r="B139" s="6">
        <v>0</v>
      </c>
      <c r="C139" s="2" t="s">
        <v>41</v>
      </c>
      <c r="D139" s="2" t="s">
        <v>114</v>
      </c>
      <c r="E139" s="6">
        <v>0</v>
      </c>
    </row>
    <row r="140" spans="1:5" x14ac:dyDescent="0.25">
      <c r="A140" s="25" t="s">
        <v>21</v>
      </c>
      <c r="B140" s="6">
        <v>0</v>
      </c>
      <c r="C140" s="2" t="s">
        <v>41</v>
      </c>
      <c r="D140" s="2" t="s">
        <v>114</v>
      </c>
      <c r="E140" s="6">
        <v>0</v>
      </c>
    </row>
    <row r="141" spans="1:5" x14ac:dyDescent="0.25">
      <c r="A141" s="25" t="s">
        <v>23</v>
      </c>
      <c r="B141" s="6">
        <v>325.11817295157954</v>
      </c>
      <c r="C141" s="2" t="s">
        <v>41</v>
      </c>
      <c r="D141" s="2" t="s">
        <v>114</v>
      </c>
      <c r="E141" s="6">
        <v>578.4188725321759</v>
      </c>
    </row>
    <row r="142" spans="1:5" x14ac:dyDescent="0.25">
      <c r="A142" s="25" t="s">
        <v>4</v>
      </c>
      <c r="B142" s="6">
        <v>0</v>
      </c>
      <c r="C142" s="2" t="s">
        <v>42</v>
      </c>
      <c r="D142" s="2" t="s">
        <v>115</v>
      </c>
      <c r="E142" s="6">
        <v>0</v>
      </c>
    </row>
    <row r="143" spans="1:5" x14ac:dyDescent="0.25">
      <c r="A143" s="25" t="s">
        <v>5</v>
      </c>
      <c r="B143" s="6">
        <v>0</v>
      </c>
      <c r="C143" s="2" t="s">
        <v>42</v>
      </c>
      <c r="D143" s="2" t="s">
        <v>115</v>
      </c>
      <c r="E143" s="6">
        <v>0</v>
      </c>
    </row>
    <row r="144" spans="1:5" x14ac:dyDescent="0.25">
      <c r="A144" s="25" t="s">
        <v>6</v>
      </c>
      <c r="B144" s="6">
        <v>0</v>
      </c>
      <c r="C144" s="2" t="s">
        <v>42</v>
      </c>
      <c r="D144" s="2" t="s">
        <v>115</v>
      </c>
      <c r="E144" s="6">
        <v>0</v>
      </c>
    </row>
    <row r="145" spans="1:5" x14ac:dyDescent="0.25">
      <c r="A145" s="25" t="s">
        <v>7</v>
      </c>
      <c r="B145" s="6">
        <v>0</v>
      </c>
      <c r="C145" s="2" t="s">
        <v>42</v>
      </c>
      <c r="D145" s="2" t="s">
        <v>115</v>
      </c>
      <c r="E145" s="6">
        <v>0</v>
      </c>
    </row>
    <row r="146" spans="1:5" x14ac:dyDescent="0.25">
      <c r="A146" s="25" t="s">
        <v>8</v>
      </c>
      <c r="B146" s="6">
        <v>0</v>
      </c>
      <c r="C146" s="2" t="s">
        <v>42</v>
      </c>
      <c r="D146" s="2" t="s">
        <v>115</v>
      </c>
      <c r="E146" s="6">
        <v>0</v>
      </c>
    </row>
    <row r="147" spans="1:5" x14ac:dyDescent="0.25">
      <c r="A147" s="25" t="s">
        <v>9</v>
      </c>
      <c r="B147" s="6">
        <v>0</v>
      </c>
      <c r="C147" s="2" t="s">
        <v>42</v>
      </c>
      <c r="D147" s="2" t="s">
        <v>115</v>
      </c>
      <c r="E147" s="6">
        <v>0</v>
      </c>
    </row>
    <row r="148" spans="1:5" x14ac:dyDescent="0.25">
      <c r="A148" s="25" t="s">
        <v>10</v>
      </c>
      <c r="B148" s="6">
        <v>0</v>
      </c>
      <c r="C148" s="2" t="s">
        <v>42</v>
      </c>
      <c r="D148" s="2" t="s">
        <v>115</v>
      </c>
      <c r="E148" s="6">
        <v>0</v>
      </c>
    </row>
    <row r="149" spans="1:5" x14ac:dyDescent="0.25">
      <c r="A149" s="25" t="s">
        <v>11</v>
      </c>
      <c r="B149" s="6">
        <v>0</v>
      </c>
      <c r="C149" s="2" t="s">
        <v>42</v>
      </c>
      <c r="D149" s="2" t="s">
        <v>115</v>
      </c>
      <c r="E149" s="6">
        <v>0</v>
      </c>
    </row>
    <row r="150" spans="1:5" x14ac:dyDescent="0.25">
      <c r="A150" s="25" t="s">
        <v>12</v>
      </c>
      <c r="B150" s="6">
        <v>0</v>
      </c>
      <c r="C150" s="2" t="s">
        <v>42</v>
      </c>
      <c r="D150" s="2" t="s">
        <v>115</v>
      </c>
      <c r="E150" s="6">
        <v>0</v>
      </c>
    </row>
    <row r="151" spans="1:5" x14ac:dyDescent="0.25">
      <c r="A151" s="25" t="s">
        <v>13</v>
      </c>
      <c r="B151" s="6">
        <v>0</v>
      </c>
      <c r="C151" s="2" t="s">
        <v>42</v>
      </c>
      <c r="D151" s="2" t="s">
        <v>115</v>
      </c>
      <c r="E151" s="6">
        <v>0</v>
      </c>
    </row>
    <row r="152" spans="1:5" x14ac:dyDescent="0.25">
      <c r="A152" s="25" t="s">
        <v>14</v>
      </c>
      <c r="B152" s="6">
        <v>0</v>
      </c>
      <c r="C152" s="2" t="s">
        <v>42</v>
      </c>
      <c r="D152" s="2" t="s">
        <v>115</v>
      </c>
      <c r="E152" s="6">
        <v>0</v>
      </c>
    </row>
    <row r="153" spans="1:5" x14ac:dyDescent="0.25">
      <c r="A153" s="25" t="s">
        <v>15</v>
      </c>
      <c r="B153" s="6">
        <v>0</v>
      </c>
      <c r="C153" s="2" t="s">
        <v>42</v>
      </c>
      <c r="D153" s="2" t="s">
        <v>115</v>
      </c>
      <c r="E153" s="6">
        <v>0</v>
      </c>
    </row>
    <row r="154" spans="1:5" x14ac:dyDescent="0.25">
      <c r="A154" s="25" t="s">
        <v>16</v>
      </c>
      <c r="B154" s="6">
        <v>0</v>
      </c>
      <c r="C154" s="2" t="s">
        <v>42</v>
      </c>
      <c r="D154" s="2" t="s">
        <v>115</v>
      </c>
      <c r="E154" s="6">
        <v>0</v>
      </c>
    </row>
    <row r="155" spans="1:5" x14ac:dyDescent="0.25">
      <c r="A155" s="25" t="s">
        <v>17</v>
      </c>
      <c r="B155" s="6">
        <v>0</v>
      </c>
      <c r="C155" s="2" t="s">
        <v>42</v>
      </c>
      <c r="D155" s="2" t="s">
        <v>115</v>
      </c>
      <c r="E155" s="6">
        <v>0</v>
      </c>
    </row>
    <row r="156" spans="1:5" x14ac:dyDescent="0.25">
      <c r="A156" s="25" t="s">
        <v>18</v>
      </c>
      <c r="B156" s="6">
        <v>0</v>
      </c>
      <c r="C156" s="2" t="s">
        <v>42</v>
      </c>
      <c r="D156" s="2" t="s">
        <v>115</v>
      </c>
      <c r="E156" s="6">
        <v>0</v>
      </c>
    </row>
    <row r="157" spans="1:5" x14ac:dyDescent="0.25">
      <c r="A157" s="25" t="s">
        <v>19</v>
      </c>
      <c r="B157" s="6">
        <v>0</v>
      </c>
      <c r="C157" s="2" t="s">
        <v>42</v>
      </c>
      <c r="D157" s="2" t="s">
        <v>115</v>
      </c>
      <c r="E157" s="6">
        <v>0</v>
      </c>
    </row>
    <row r="158" spans="1:5" x14ac:dyDescent="0.25">
      <c r="A158" s="25" t="s">
        <v>20</v>
      </c>
      <c r="B158" s="6">
        <v>0</v>
      </c>
      <c r="C158" s="2" t="s">
        <v>42</v>
      </c>
      <c r="D158" s="2" t="s">
        <v>115</v>
      </c>
      <c r="E158" s="6">
        <v>0</v>
      </c>
    </row>
    <row r="159" spans="1:5" x14ac:dyDescent="0.25">
      <c r="A159" s="25" t="s">
        <v>22</v>
      </c>
      <c r="B159" s="6">
        <v>0</v>
      </c>
      <c r="C159" s="2" t="s">
        <v>42</v>
      </c>
      <c r="D159" s="2" t="s">
        <v>115</v>
      </c>
      <c r="E159" s="6">
        <v>0</v>
      </c>
    </row>
    <row r="160" spans="1:5" x14ac:dyDescent="0.25">
      <c r="A160" s="25" t="s">
        <v>21</v>
      </c>
      <c r="B160" s="6">
        <v>0</v>
      </c>
      <c r="C160" s="2" t="s">
        <v>42</v>
      </c>
      <c r="D160" s="2" t="s">
        <v>115</v>
      </c>
      <c r="E160" s="6">
        <v>0</v>
      </c>
    </row>
    <row r="161" spans="1:5" x14ac:dyDescent="0.25">
      <c r="A161" s="25" t="s">
        <v>23</v>
      </c>
      <c r="B161" s="6">
        <v>281.52703187920127</v>
      </c>
      <c r="C161" s="2" t="s">
        <v>42</v>
      </c>
      <c r="D161" s="2" t="s">
        <v>115</v>
      </c>
      <c r="E161" s="6">
        <v>564.02284709594107</v>
      </c>
    </row>
    <row r="162" spans="1:5" x14ac:dyDescent="0.25">
      <c r="A162" s="25" t="s">
        <v>4</v>
      </c>
      <c r="B162" s="6">
        <v>0</v>
      </c>
      <c r="C162" s="2" t="s">
        <v>43</v>
      </c>
      <c r="D162" s="2" t="s">
        <v>116</v>
      </c>
      <c r="E162" s="6">
        <v>0</v>
      </c>
    </row>
    <row r="163" spans="1:5" x14ac:dyDescent="0.25">
      <c r="A163" s="25" t="s">
        <v>5</v>
      </c>
      <c r="B163" s="6">
        <v>0</v>
      </c>
      <c r="C163" s="2" t="s">
        <v>43</v>
      </c>
      <c r="D163" s="2" t="s">
        <v>116</v>
      </c>
      <c r="E163" s="6">
        <v>0</v>
      </c>
    </row>
    <row r="164" spans="1:5" x14ac:dyDescent="0.25">
      <c r="A164" s="25" t="s">
        <v>6</v>
      </c>
      <c r="B164" s="6">
        <v>0</v>
      </c>
      <c r="C164" s="2" t="s">
        <v>43</v>
      </c>
      <c r="D164" s="2" t="s">
        <v>116</v>
      </c>
      <c r="E164" s="6">
        <v>0</v>
      </c>
    </row>
    <row r="165" spans="1:5" x14ac:dyDescent="0.25">
      <c r="A165" s="25" t="s">
        <v>7</v>
      </c>
      <c r="B165" s="6">
        <v>0</v>
      </c>
      <c r="C165" s="2" t="s">
        <v>43</v>
      </c>
      <c r="D165" s="2" t="s">
        <v>116</v>
      </c>
      <c r="E165" s="6">
        <v>0</v>
      </c>
    </row>
    <row r="166" spans="1:5" x14ac:dyDescent="0.25">
      <c r="A166" s="25" t="s">
        <v>8</v>
      </c>
      <c r="B166" s="6">
        <v>0</v>
      </c>
      <c r="C166" s="2" t="s">
        <v>43</v>
      </c>
      <c r="D166" s="2" t="s">
        <v>116</v>
      </c>
      <c r="E166" s="6">
        <v>0</v>
      </c>
    </row>
    <row r="167" spans="1:5" x14ac:dyDescent="0.25">
      <c r="A167" s="25" t="s">
        <v>9</v>
      </c>
      <c r="B167" s="6">
        <v>0</v>
      </c>
      <c r="C167" s="2" t="s">
        <v>43</v>
      </c>
      <c r="D167" s="2" t="s">
        <v>116</v>
      </c>
      <c r="E167" s="6">
        <v>0</v>
      </c>
    </row>
    <row r="168" spans="1:5" x14ac:dyDescent="0.25">
      <c r="A168" s="25" t="s">
        <v>10</v>
      </c>
      <c r="B168" s="6">
        <v>0</v>
      </c>
      <c r="C168" s="2" t="s">
        <v>43</v>
      </c>
      <c r="D168" s="2" t="s">
        <v>116</v>
      </c>
      <c r="E168" s="6">
        <v>0</v>
      </c>
    </row>
    <row r="169" spans="1:5" x14ac:dyDescent="0.25">
      <c r="A169" s="25" t="s">
        <v>11</v>
      </c>
      <c r="B169" s="6">
        <v>0</v>
      </c>
      <c r="C169" s="2" t="s">
        <v>43</v>
      </c>
      <c r="D169" s="2" t="s">
        <v>116</v>
      </c>
      <c r="E169" s="6">
        <v>0</v>
      </c>
    </row>
    <row r="170" spans="1:5" x14ac:dyDescent="0.25">
      <c r="A170" s="25" t="s">
        <v>12</v>
      </c>
      <c r="B170" s="6">
        <v>0</v>
      </c>
      <c r="C170" s="2" t="s">
        <v>43</v>
      </c>
      <c r="D170" s="2" t="s">
        <v>116</v>
      </c>
      <c r="E170" s="6">
        <v>0</v>
      </c>
    </row>
    <row r="171" spans="1:5" x14ac:dyDescent="0.25">
      <c r="A171" s="25" t="s">
        <v>13</v>
      </c>
      <c r="B171" s="6">
        <v>0</v>
      </c>
      <c r="C171" s="2" t="s">
        <v>43</v>
      </c>
      <c r="D171" s="2" t="s">
        <v>116</v>
      </c>
      <c r="E171" s="6">
        <v>0</v>
      </c>
    </row>
    <row r="172" spans="1:5" x14ac:dyDescent="0.25">
      <c r="A172" s="25" t="s">
        <v>14</v>
      </c>
      <c r="B172" s="6">
        <v>0</v>
      </c>
      <c r="C172" s="2" t="s">
        <v>43</v>
      </c>
      <c r="D172" s="2" t="s">
        <v>116</v>
      </c>
      <c r="E172" s="6">
        <v>0</v>
      </c>
    </row>
    <row r="173" spans="1:5" x14ac:dyDescent="0.25">
      <c r="A173" s="25" t="s">
        <v>15</v>
      </c>
      <c r="B173" s="6">
        <v>0</v>
      </c>
      <c r="C173" s="2" t="s">
        <v>43</v>
      </c>
      <c r="D173" s="2" t="s">
        <v>116</v>
      </c>
      <c r="E173" s="6">
        <v>0</v>
      </c>
    </row>
    <row r="174" spans="1:5" x14ac:dyDescent="0.25">
      <c r="A174" s="25" t="s">
        <v>16</v>
      </c>
      <c r="B174" s="6">
        <v>0</v>
      </c>
      <c r="C174" s="2" t="s">
        <v>43</v>
      </c>
      <c r="D174" s="2" t="s">
        <v>116</v>
      </c>
      <c r="E174" s="6">
        <v>0</v>
      </c>
    </row>
    <row r="175" spans="1:5" x14ac:dyDescent="0.25">
      <c r="A175" s="25" t="s">
        <v>17</v>
      </c>
      <c r="B175" s="6">
        <v>0</v>
      </c>
      <c r="C175" s="2" t="s">
        <v>43</v>
      </c>
      <c r="D175" s="2" t="s">
        <v>116</v>
      </c>
      <c r="E175" s="6">
        <v>0</v>
      </c>
    </row>
    <row r="176" spans="1:5" x14ac:dyDescent="0.25">
      <c r="A176" s="25" t="s">
        <v>18</v>
      </c>
      <c r="B176" s="6">
        <v>0</v>
      </c>
      <c r="C176" s="2" t="s">
        <v>43</v>
      </c>
      <c r="D176" s="2" t="s">
        <v>116</v>
      </c>
      <c r="E176" s="6">
        <v>0</v>
      </c>
    </row>
    <row r="177" spans="1:5" x14ac:dyDescent="0.25">
      <c r="A177" s="25" t="s">
        <v>19</v>
      </c>
      <c r="B177" s="6">
        <v>0</v>
      </c>
      <c r="C177" s="2" t="s">
        <v>43</v>
      </c>
      <c r="D177" s="2" t="s">
        <v>116</v>
      </c>
      <c r="E177" s="6">
        <v>0</v>
      </c>
    </row>
    <row r="178" spans="1:5" x14ac:dyDescent="0.25">
      <c r="A178" s="25" t="s">
        <v>20</v>
      </c>
      <c r="B178" s="6">
        <v>0</v>
      </c>
      <c r="C178" s="2" t="s">
        <v>43</v>
      </c>
      <c r="D178" s="2" t="s">
        <v>116</v>
      </c>
      <c r="E178" s="6">
        <v>0</v>
      </c>
    </row>
    <row r="179" spans="1:5" x14ac:dyDescent="0.25">
      <c r="A179" s="25" t="s">
        <v>22</v>
      </c>
      <c r="B179" s="6">
        <v>0</v>
      </c>
      <c r="C179" s="2" t="s">
        <v>43</v>
      </c>
      <c r="D179" s="2" t="s">
        <v>116</v>
      </c>
      <c r="E179" s="6">
        <v>0</v>
      </c>
    </row>
    <row r="180" spans="1:5" x14ac:dyDescent="0.25">
      <c r="A180" s="25" t="s">
        <v>21</v>
      </c>
      <c r="B180" s="6">
        <v>0</v>
      </c>
      <c r="C180" s="2" t="s">
        <v>43</v>
      </c>
      <c r="D180" s="2" t="s">
        <v>116</v>
      </c>
      <c r="E180" s="6">
        <v>0</v>
      </c>
    </row>
    <row r="181" spans="1:5" x14ac:dyDescent="0.25">
      <c r="A181" s="25" t="s">
        <v>23</v>
      </c>
      <c r="B181" s="6">
        <v>259.66409626564837</v>
      </c>
      <c r="C181" s="2" t="s">
        <v>43</v>
      </c>
      <c r="D181" s="2" t="s">
        <v>116</v>
      </c>
      <c r="E181" s="6">
        <v>555.938885830505</v>
      </c>
    </row>
    <row r="182" spans="1:5" x14ac:dyDescent="0.25">
      <c r="A182" s="25" t="s">
        <v>4</v>
      </c>
      <c r="B182" s="6">
        <v>0</v>
      </c>
      <c r="C182" s="2" t="s">
        <v>44</v>
      </c>
      <c r="D182" s="2" t="s">
        <v>115</v>
      </c>
      <c r="E182" s="6">
        <v>0</v>
      </c>
    </row>
    <row r="183" spans="1:5" x14ac:dyDescent="0.25">
      <c r="A183" s="25" t="s">
        <v>5</v>
      </c>
      <c r="B183" s="6">
        <v>0</v>
      </c>
      <c r="C183" s="2" t="s">
        <v>44</v>
      </c>
      <c r="D183" s="2" t="s">
        <v>115</v>
      </c>
      <c r="E183" s="6">
        <v>0</v>
      </c>
    </row>
    <row r="184" spans="1:5" x14ac:dyDescent="0.25">
      <c r="A184" s="25" t="s">
        <v>6</v>
      </c>
      <c r="B184" s="6">
        <v>0</v>
      </c>
      <c r="C184" s="2" t="s">
        <v>44</v>
      </c>
      <c r="D184" s="2" t="s">
        <v>115</v>
      </c>
      <c r="E184" s="6">
        <v>0</v>
      </c>
    </row>
    <row r="185" spans="1:5" x14ac:dyDescent="0.25">
      <c r="A185" s="25" t="s">
        <v>7</v>
      </c>
      <c r="B185" s="6">
        <v>0</v>
      </c>
      <c r="C185" s="2" t="s">
        <v>44</v>
      </c>
      <c r="D185" s="2" t="s">
        <v>115</v>
      </c>
      <c r="E185" s="6">
        <v>0</v>
      </c>
    </row>
    <row r="186" spans="1:5" x14ac:dyDescent="0.25">
      <c r="A186" s="25" t="s">
        <v>8</v>
      </c>
      <c r="B186" s="6">
        <v>0</v>
      </c>
      <c r="C186" s="2" t="s">
        <v>44</v>
      </c>
      <c r="D186" s="2" t="s">
        <v>115</v>
      </c>
      <c r="E186" s="6">
        <v>0</v>
      </c>
    </row>
    <row r="187" spans="1:5" x14ac:dyDescent="0.25">
      <c r="A187" s="25" t="s">
        <v>9</v>
      </c>
      <c r="B187" s="6">
        <v>0</v>
      </c>
      <c r="C187" s="2" t="s">
        <v>44</v>
      </c>
      <c r="D187" s="2" t="s">
        <v>115</v>
      </c>
      <c r="E187" s="6">
        <v>0</v>
      </c>
    </row>
    <row r="188" spans="1:5" x14ac:dyDescent="0.25">
      <c r="A188" s="25" t="s">
        <v>10</v>
      </c>
      <c r="B188" s="6">
        <v>0</v>
      </c>
      <c r="C188" s="2" t="s">
        <v>44</v>
      </c>
      <c r="D188" s="2" t="s">
        <v>115</v>
      </c>
      <c r="E188" s="6">
        <v>0</v>
      </c>
    </row>
    <row r="189" spans="1:5" x14ac:dyDescent="0.25">
      <c r="A189" s="25" t="s">
        <v>11</v>
      </c>
      <c r="B189" s="6">
        <v>0</v>
      </c>
      <c r="C189" s="2" t="s">
        <v>44</v>
      </c>
      <c r="D189" s="2" t="s">
        <v>115</v>
      </c>
      <c r="E189" s="6">
        <v>0</v>
      </c>
    </row>
    <row r="190" spans="1:5" x14ac:dyDescent="0.25">
      <c r="A190" s="25" t="s">
        <v>12</v>
      </c>
      <c r="B190" s="6">
        <v>0</v>
      </c>
      <c r="C190" s="2" t="s">
        <v>44</v>
      </c>
      <c r="D190" s="2" t="s">
        <v>115</v>
      </c>
      <c r="E190" s="6">
        <v>0</v>
      </c>
    </row>
    <row r="191" spans="1:5" x14ac:dyDescent="0.25">
      <c r="A191" s="25" t="s">
        <v>13</v>
      </c>
      <c r="B191" s="6">
        <v>0</v>
      </c>
      <c r="C191" s="2" t="s">
        <v>44</v>
      </c>
      <c r="D191" s="2" t="s">
        <v>115</v>
      </c>
      <c r="E191" s="6">
        <v>0</v>
      </c>
    </row>
    <row r="192" spans="1:5" x14ac:dyDescent="0.25">
      <c r="A192" s="25" t="s">
        <v>14</v>
      </c>
      <c r="B192" s="6">
        <v>0</v>
      </c>
      <c r="C192" s="2" t="s">
        <v>44</v>
      </c>
      <c r="D192" s="2" t="s">
        <v>115</v>
      </c>
      <c r="E192" s="6">
        <v>0</v>
      </c>
    </row>
    <row r="193" spans="1:5" x14ac:dyDescent="0.25">
      <c r="A193" s="25" t="s">
        <v>15</v>
      </c>
      <c r="B193" s="6">
        <v>0</v>
      </c>
      <c r="C193" s="2" t="s">
        <v>44</v>
      </c>
      <c r="D193" s="2" t="s">
        <v>115</v>
      </c>
      <c r="E193" s="6">
        <v>0</v>
      </c>
    </row>
    <row r="194" spans="1:5" x14ac:dyDescent="0.25">
      <c r="A194" s="25" t="s">
        <v>16</v>
      </c>
      <c r="B194" s="6">
        <v>0</v>
      </c>
      <c r="C194" s="2" t="s">
        <v>44</v>
      </c>
      <c r="D194" s="2" t="s">
        <v>115</v>
      </c>
      <c r="E194" s="6">
        <v>0</v>
      </c>
    </row>
    <row r="195" spans="1:5" x14ac:dyDescent="0.25">
      <c r="A195" s="25" t="s">
        <v>17</v>
      </c>
      <c r="B195" s="6">
        <v>0</v>
      </c>
      <c r="C195" s="2" t="s">
        <v>44</v>
      </c>
      <c r="D195" s="2" t="s">
        <v>115</v>
      </c>
      <c r="E195" s="6">
        <v>0</v>
      </c>
    </row>
    <row r="196" spans="1:5" x14ac:dyDescent="0.25">
      <c r="A196" s="25" t="s">
        <v>18</v>
      </c>
      <c r="B196" s="6">
        <v>0</v>
      </c>
      <c r="C196" s="2" t="s">
        <v>44</v>
      </c>
      <c r="D196" s="2" t="s">
        <v>115</v>
      </c>
      <c r="E196" s="6">
        <v>0</v>
      </c>
    </row>
    <row r="197" spans="1:5" x14ac:dyDescent="0.25">
      <c r="A197" s="25" t="s">
        <v>19</v>
      </c>
      <c r="B197" s="6">
        <v>0</v>
      </c>
      <c r="C197" s="2" t="s">
        <v>44</v>
      </c>
      <c r="D197" s="2" t="s">
        <v>115</v>
      </c>
      <c r="E197" s="6">
        <v>0</v>
      </c>
    </row>
    <row r="198" spans="1:5" x14ac:dyDescent="0.25">
      <c r="A198" s="25" t="s">
        <v>20</v>
      </c>
      <c r="B198" s="6">
        <v>0</v>
      </c>
      <c r="C198" s="2" t="s">
        <v>44</v>
      </c>
      <c r="D198" s="2" t="s">
        <v>115</v>
      </c>
      <c r="E198" s="6">
        <v>0</v>
      </c>
    </row>
    <row r="199" spans="1:5" x14ac:dyDescent="0.25">
      <c r="A199" s="25" t="s">
        <v>22</v>
      </c>
      <c r="B199" s="6">
        <v>0</v>
      </c>
      <c r="C199" s="2" t="s">
        <v>44</v>
      </c>
      <c r="D199" s="2" t="s">
        <v>115</v>
      </c>
      <c r="E199" s="6">
        <v>0</v>
      </c>
    </row>
    <row r="200" spans="1:5" x14ac:dyDescent="0.25">
      <c r="A200" s="25" t="s">
        <v>21</v>
      </c>
      <c r="B200" s="6">
        <v>0</v>
      </c>
      <c r="C200" s="2" t="s">
        <v>44</v>
      </c>
      <c r="D200" s="2" t="s">
        <v>115</v>
      </c>
      <c r="E200" s="6">
        <v>0</v>
      </c>
    </row>
    <row r="201" spans="1:5" x14ac:dyDescent="0.25">
      <c r="A201" s="25" t="s">
        <v>23</v>
      </c>
      <c r="B201" s="6">
        <v>291.5873642277719</v>
      </c>
      <c r="C201" s="2" t="s">
        <v>44</v>
      </c>
      <c r="D201" s="2" t="s">
        <v>115</v>
      </c>
      <c r="E201" s="6">
        <v>567.5339666643398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1-way</vt:lpstr>
      <vt:lpstr>2-way</vt:lpstr>
      <vt:lpstr>2-way for mixed model</vt:lpstr>
      <vt:lpstr>1-way missing data</vt:lpstr>
      <vt:lpstr>2-way missing data</vt:lpstr>
      <vt:lpstr>2-way missing for mixed model</vt:lpstr>
    </vt:vector>
  </TitlesOfParts>
  <Company>Auckland University of Technology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Reviewer</dc:creator>
  <cp:lastModifiedBy>Will Hopkins</cp:lastModifiedBy>
  <dcterms:created xsi:type="dcterms:W3CDTF">2006-09-18T18:15:32Z</dcterms:created>
  <dcterms:modified xsi:type="dcterms:W3CDTF">2015-06-20T09:46:00Z</dcterms:modified>
</cp:coreProperties>
</file>