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7140" windowHeight="5505" activeTab="0"/>
  </bookViews>
  <sheets>
    <sheet name="Data" sheetId="1" r:id="rId1"/>
    <sheet name="Graphs" sheetId="2" r:id="rId2"/>
  </sheets>
  <definedNames>
    <definedName name="allraw">'Data'!$D$24:$G$43,'Data'!$D$51:$G$70</definedName>
  </definedNames>
  <calcPr fullCalcOnLoad="1"/>
</workbook>
</file>

<file path=xl/comments1.xml><?xml version="1.0" encoding="utf-8"?>
<comments xmlns="http://schemas.openxmlformats.org/spreadsheetml/2006/main">
  <authors>
    <author>Will Hopkins</author>
  </authors>
  <commentList>
    <comment ref="I103" authorId="0">
      <text>
        <r>
          <rPr>
            <b/>
            <sz val="8"/>
            <rFont val="Tahoma"/>
            <family val="0"/>
          </rPr>
          <t xml:space="preserve">Will Hopkins:
</t>
        </r>
        <r>
          <rPr>
            <sz val="8"/>
            <rFont val="Tahoma"/>
            <family val="2"/>
          </rPr>
          <t>Insert the smallest clinically or practically important change IN THE SAME UNITS AS THE RAW DATA, if you want estimates of the chances that the true value of the difference in the change is important.</t>
        </r>
      </text>
    </comment>
    <comment ref="I125"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H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H89" authorId="0">
      <text>
        <r>
          <rPr>
            <b/>
            <sz val="8"/>
            <rFont val="Tahoma"/>
            <family val="0"/>
          </rPr>
          <t>Will Hopkins:</t>
        </r>
        <r>
          <rPr>
            <sz val="8"/>
            <rFont val="Tahoma"/>
            <family val="0"/>
          </rPr>
          <t xml:space="preserve">
calculated for the unequal-variances t statistic using the Satterthwaite appoximation.</t>
        </r>
      </text>
    </comment>
    <comment ref="V125" authorId="0">
      <text>
        <r>
          <rPr>
            <b/>
            <sz val="8"/>
            <rFont val="Tahoma"/>
            <family val="0"/>
          </rPr>
          <t xml:space="preserve">Will Hopkins:
</t>
        </r>
        <r>
          <rPr>
            <sz val="8"/>
            <rFont val="Tahoma"/>
            <family val="2"/>
          </rPr>
          <t>Insert the smallest clinically or practically important change AS A FACTOR
 if you want estimates of the chances that the true value of the difference in the change is important.</t>
        </r>
      </text>
    </comment>
    <comment ref="V103" authorId="0">
      <text>
        <r>
          <rPr>
            <b/>
            <sz val="8"/>
            <rFont val="Tahoma"/>
            <family val="0"/>
          </rPr>
          <t xml:space="preserve">Will Hopkins:
</t>
        </r>
        <r>
          <rPr>
            <sz val="8"/>
            <rFont val="Tahoma"/>
            <family val="2"/>
          </rPr>
          <t>Insert the smallest clinically or practically important change AS A PERCENT if you want estimates of the chances that the true value of the difference in the change is important.</t>
        </r>
      </text>
    </comment>
    <comment ref="V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T161" authorId="0">
      <text>
        <r>
          <rPr>
            <b/>
            <sz val="8"/>
            <rFont val="Tahoma"/>
            <family val="0"/>
          </rPr>
          <t>Will Hopkins:</t>
        </r>
        <r>
          <rPr>
            <sz val="8"/>
            <rFont val="Tahoma"/>
            <family val="0"/>
          </rPr>
          <t xml:space="preserve">
This table is used to get some of  the other tables.  Don't modify it or take values from it directly.</t>
        </r>
      </text>
    </comment>
    <comment ref="V169" authorId="0">
      <text>
        <r>
          <rPr>
            <b/>
            <sz val="8"/>
            <rFont val="Tahoma"/>
            <family val="0"/>
          </rPr>
          <t>Will Hopkins:</t>
        </r>
        <r>
          <rPr>
            <sz val="8"/>
            <rFont val="Tahoma"/>
            <family val="0"/>
          </rPr>
          <t xml:space="preserve">
This value is generated from the smallest value in the percent table.  Do not change it here.</t>
        </r>
      </text>
    </comment>
    <comment ref="AG161" authorId="0">
      <text>
        <r>
          <rPr>
            <b/>
            <sz val="8"/>
            <rFont val="Tahoma"/>
            <family val="0"/>
          </rPr>
          <t>Will Hopkins:</t>
        </r>
        <r>
          <rPr>
            <sz val="8"/>
            <rFont val="Tahoma"/>
            <family val="0"/>
          </rPr>
          <t xml:space="preserve">
This table is used to get some of  the Cohen table.  Don't modify it or take values from it directly.</t>
        </r>
      </text>
    </comment>
    <comment ref="AI169" authorId="0">
      <text>
        <r>
          <rPr>
            <b/>
            <sz val="8"/>
            <rFont val="Tahoma"/>
            <family val="0"/>
          </rPr>
          <t>Will Hopkins:</t>
        </r>
        <r>
          <rPr>
            <sz val="8"/>
            <rFont val="Tahoma"/>
            <family val="0"/>
          </rPr>
          <t xml:space="preserve">
It might be possible to dream up a smallest worthwhile change in rank.  In the meantime use the Cohen table.</t>
        </r>
      </text>
    </comment>
    <comment ref="L23" authorId="0">
      <text>
        <r>
          <rPr>
            <b/>
            <sz val="8"/>
            <rFont val="Tahoma"/>
            <family val="0"/>
          </rPr>
          <t>Will Hopkins:</t>
        </r>
        <r>
          <rPr>
            <sz val="8"/>
            <rFont val="Tahoma"/>
            <family val="0"/>
          </rPr>
          <t xml:space="preserve">
You can put any sensible combination of pre and/or post assays here.  Transfer the formula to the matching column in the tables of transformed values, if necessary. Make additional columns for other effects by copying and inserting this or any other effect column. </t>
        </r>
      </text>
    </comment>
    <comment ref="H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H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V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AT161" authorId="0">
      <text>
        <r>
          <rPr>
            <b/>
            <sz val="8"/>
            <rFont val="Tahoma"/>
            <family val="0"/>
          </rPr>
          <t>Will Hopkins:</t>
        </r>
        <r>
          <rPr>
            <sz val="8"/>
            <rFont val="Tahoma"/>
            <family val="0"/>
          </rPr>
          <t xml:space="preserve">
This table is used to get some of  the Cohen table.  Don't modify it or take values from it directly.</t>
        </r>
      </text>
    </comment>
    <comment ref="AV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AI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H133" authorId="0">
      <text>
        <r>
          <rPr>
            <b/>
            <sz val="8"/>
            <rFont val="Tahoma"/>
            <family val="0"/>
          </rPr>
          <t>Will Hopkins:</t>
        </r>
        <r>
          <rPr>
            <sz val="8"/>
            <rFont val="Tahoma"/>
            <family val="0"/>
          </rPr>
          <t xml:space="preserve">
This SD is reproduced here to reduce problems when columns or tables are copied.</t>
        </r>
      </text>
    </comment>
    <comment ref="AU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U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U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H23" authorId="0">
      <text>
        <r>
          <rPr>
            <b/>
            <sz val="8"/>
            <rFont val="Tahoma"/>
            <family val="0"/>
          </rPr>
          <t>Will Hopkins:</t>
        </r>
        <r>
          <rPr>
            <sz val="8"/>
            <rFont val="Tahoma"/>
            <family val="0"/>
          </rPr>
          <t xml:space="preserve">
Do not insert a new column  immediately to the left of this column.</t>
        </r>
      </text>
    </comment>
    <comment ref="AC73" authorId="0">
      <text>
        <r>
          <rPr>
            <b/>
            <sz val="8"/>
            <rFont val="Tahoma"/>
            <family val="0"/>
          </rPr>
          <t>Will Hopkins:</t>
        </r>
        <r>
          <rPr>
            <sz val="8"/>
            <rFont val="Tahoma"/>
            <family val="0"/>
          </rPr>
          <t xml:space="preserve">
The raw value of the observation corresponding to the mean of the rank-transformed variable.</t>
        </r>
      </text>
    </comment>
    <comment ref="AC80" authorId="0">
      <text>
        <r>
          <rPr>
            <b/>
            <sz val="8"/>
            <rFont val="Tahoma"/>
            <family val="0"/>
          </rPr>
          <t>Will Hopkins:</t>
        </r>
        <r>
          <rPr>
            <sz val="8"/>
            <rFont val="Tahoma"/>
            <family val="0"/>
          </rPr>
          <t xml:space="preserve">
The raw value of the observation corresponding to the mean of the rank-transformed variable.</t>
        </r>
      </text>
    </comment>
    <comment ref="AC81"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AC74"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C98" authorId="0">
      <text>
        <r>
          <rPr>
            <b/>
            <sz val="8"/>
            <rFont val="Tahoma"/>
            <family val="0"/>
          </rPr>
          <t>Will Hopkins:</t>
        </r>
        <r>
          <rPr>
            <sz val="8"/>
            <rFont val="Tahoma"/>
            <family val="0"/>
          </rPr>
          <t xml:space="preserve">
calculated for the unequal-variances t statistic using the Satterthwaite appoximation.</t>
        </r>
      </text>
    </comment>
    <comment ref="D103" authorId="0">
      <text>
        <r>
          <rPr>
            <b/>
            <sz val="8"/>
            <rFont val="Tahoma"/>
            <family val="0"/>
          </rPr>
          <t xml:space="preserve">Will Hopkins:
</t>
        </r>
        <r>
          <rPr>
            <sz val="8"/>
            <rFont val="Tahoma"/>
            <family val="2"/>
          </rPr>
          <t>Copied from adjacent table.  Otherwise insert the smallest clinically or practically important difference IN THE SAME UNITS AS THE RAW DATA, if you want estimates of the chances that the true value of the difference is important.</t>
        </r>
      </text>
    </comment>
    <comment ref="D125"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C89" authorId="0">
      <text>
        <r>
          <rPr>
            <b/>
            <sz val="8"/>
            <rFont val="Tahoma"/>
            <family val="0"/>
          </rPr>
          <t>Will Hopkins:</t>
        </r>
        <r>
          <rPr>
            <sz val="8"/>
            <rFont val="Tahoma"/>
            <family val="0"/>
          </rPr>
          <t xml:space="preserve">
calculated for the unequal-variances t statistic using the Satterthwaite appoximation.</t>
        </r>
      </text>
    </comment>
    <comment ref="Q169" authorId="0">
      <text>
        <r>
          <rPr>
            <b/>
            <sz val="8"/>
            <rFont val="Tahoma"/>
            <family val="0"/>
          </rPr>
          <t>Will Hopkins:</t>
        </r>
        <r>
          <rPr>
            <sz val="8"/>
            <rFont val="Tahoma"/>
            <family val="0"/>
          </rPr>
          <t xml:space="preserve">
This value is generated from the smallest value in the percent table.  Do not change it here.</t>
        </r>
      </text>
    </comment>
    <comment ref="C79" authorId="0">
      <text>
        <r>
          <rPr>
            <b/>
            <sz val="8"/>
            <rFont val="Tahoma"/>
            <family val="0"/>
          </rPr>
          <t>Will Hopkins:</t>
        </r>
        <r>
          <rPr>
            <sz val="8"/>
            <rFont val="Tahoma"/>
            <family val="0"/>
          </rPr>
          <t xml:space="preserve">
Used as denominator in formulae for Cohen effect sizes.</t>
        </r>
      </text>
    </comment>
    <comment ref="P79" authorId="0">
      <text>
        <r>
          <rPr>
            <b/>
            <sz val="8"/>
            <rFont val="Tahoma"/>
            <family val="0"/>
          </rPr>
          <t>Will Hopkins:</t>
        </r>
        <r>
          <rPr>
            <sz val="8"/>
            <rFont val="Tahoma"/>
            <family val="0"/>
          </rPr>
          <t xml:space="preserve">
Used as denominator in formulae for Cohen effect sizes.</t>
        </r>
      </text>
    </comment>
    <comment ref="AC79" authorId="0">
      <text>
        <r>
          <rPr>
            <b/>
            <sz val="8"/>
            <rFont val="Tahoma"/>
            <family val="0"/>
          </rPr>
          <t>Will Hopkins:</t>
        </r>
        <r>
          <rPr>
            <sz val="8"/>
            <rFont val="Tahoma"/>
            <family val="0"/>
          </rPr>
          <t xml:space="preserve">
Used as denominator in formulae for Cohen effect sizes.</t>
        </r>
      </text>
    </comment>
    <comment ref="Q103" authorId="0">
      <text>
        <r>
          <rPr>
            <b/>
            <sz val="8"/>
            <rFont val="Tahoma"/>
            <family val="0"/>
          </rPr>
          <t xml:space="preserve">Will Hopkins:
</t>
        </r>
        <r>
          <rPr>
            <sz val="8"/>
            <rFont val="Tahoma"/>
            <family val="2"/>
          </rPr>
          <t>Copied from adjacent table.  Otherwise Insert the smallest clinically or practically important difference AS A PERCENT if you want estimates of the chances that the true value of the difference is important.</t>
        </r>
      </text>
    </comment>
    <comment ref="Q125" authorId="0">
      <text>
        <r>
          <rPr>
            <b/>
            <sz val="8"/>
            <rFont val="Tahoma"/>
            <family val="0"/>
          </rPr>
          <t xml:space="preserve">Will Hopkins:
</t>
        </r>
        <r>
          <rPr>
            <sz val="8"/>
            <rFont val="Tahoma"/>
            <family val="2"/>
          </rPr>
          <t>Copied from adjacent table.  Otherwise Insert the smallest clinically or practically important difference AS A FACTOR if you want estimates of the chances that the true value of the difference is important.</t>
        </r>
      </text>
    </comment>
    <comment ref="Q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D147"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Q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AD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H98" authorId="0">
      <text>
        <r>
          <rPr>
            <b/>
            <sz val="8"/>
            <rFont val="Tahoma"/>
            <family val="0"/>
          </rPr>
          <t>Will Hopkins:</t>
        </r>
        <r>
          <rPr>
            <sz val="8"/>
            <rFont val="Tahoma"/>
            <family val="0"/>
          </rPr>
          <t xml:space="preserve">
calculated for the unequal-variances t statistic using the Satterthwaite appoximation.</t>
        </r>
      </text>
    </comment>
    <comment ref="P98" authorId="0">
      <text>
        <r>
          <rPr>
            <b/>
            <sz val="8"/>
            <rFont val="Tahoma"/>
            <family val="0"/>
          </rPr>
          <t>Will Hopkins:</t>
        </r>
        <r>
          <rPr>
            <sz val="8"/>
            <rFont val="Tahoma"/>
            <family val="0"/>
          </rPr>
          <t xml:space="preserve">
calculated for the unequal-variances t statistic using the Satterthwaite appoximation.</t>
        </r>
      </text>
    </comment>
    <comment ref="U98" authorId="0">
      <text>
        <r>
          <rPr>
            <b/>
            <sz val="8"/>
            <rFont val="Tahoma"/>
            <family val="0"/>
          </rPr>
          <t>Will Hopkins:</t>
        </r>
        <r>
          <rPr>
            <sz val="8"/>
            <rFont val="Tahoma"/>
            <family val="0"/>
          </rPr>
          <t xml:space="preserve">
calculated for the unequal-variances t statistic using the Satterthwaite appoximation.</t>
        </r>
      </text>
    </comment>
    <comment ref="U120" authorId="0">
      <text>
        <r>
          <rPr>
            <b/>
            <sz val="8"/>
            <rFont val="Tahoma"/>
            <family val="0"/>
          </rPr>
          <t>Will Hopkins:</t>
        </r>
        <r>
          <rPr>
            <sz val="8"/>
            <rFont val="Tahoma"/>
            <family val="0"/>
          </rPr>
          <t xml:space="preserve">
calculated for the unequal-variances t statistic using the Satterthwaite appoximation.</t>
        </r>
      </text>
    </comment>
    <comment ref="P120" authorId="0">
      <text>
        <r>
          <rPr>
            <b/>
            <sz val="8"/>
            <rFont val="Tahoma"/>
            <family val="0"/>
          </rPr>
          <t>Will Hopkins:</t>
        </r>
        <r>
          <rPr>
            <sz val="8"/>
            <rFont val="Tahoma"/>
            <family val="0"/>
          </rPr>
          <t xml:space="preserve">
calculated for the unequal-variances t statistic using the Satterthwaite appoximation.</t>
        </r>
      </text>
    </comment>
    <comment ref="U142" authorId="0">
      <text>
        <r>
          <rPr>
            <b/>
            <sz val="8"/>
            <rFont val="Tahoma"/>
            <family val="0"/>
          </rPr>
          <t>Will Hopkins:</t>
        </r>
        <r>
          <rPr>
            <sz val="8"/>
            <rFont val="Tahoma"/>
            <family val="0"/>
          </rPr>
          <t xml:space="preserve">
calculated for the unequal-variances t statistic using the Satterthwaite appoximation.</t>
        </r>
      </text>
    </comment>
    <comment ref="P142" authorId="0">
      <text>
        <r>
          <rPr>
            <b/>
            <sz val="8"/>
            <rFont val="Tahoma"/>
            <family val="0"/>
          </rPr>
          <t>Will Hopkins:</t>
        </r>
        <r>
          <rPr>
            <sz val="8"/>
            <rFont val="Tahoma"/>
            <family val="0"/>
          </rPr>
          <t xml:space="preserve">
calculated for the unequal-variances t statistic using the Satterthwaite appoximation.</t>
        </r>
      </text>
    </comment>
    <comment ref="U164" authorId="0">
      <text>
        <r>
          <rPr>
            <b/>
            <sz val="8"/>
            <rFont val="Tahoma"/>
            <family val="0"/>
          </rPr>
          <t>Will Hopkins:</t>
        </r>
        <r>
          <rPr>
            <sz val="8"/>
            <rFont val="Tahoma"/>
            <family val="0"/>
          </rPr>
          <t xml:space="preserve">
calculated for the unequal-variances t statistic using the Satterthwaite appoximation.</t>
        </r>
      </text>
    </comment>
    <comment ref="P164" authorId="0">
      <text>
        <r>
          <rPr>
            <b/>
            <sz val="8"/>
            <rFont val="Tahoma"/>
            <family val="0"/>
          </rPr>
          <t>Will Hopkins:</t>
        </r>
        <r>
          <rPr>
            <sz val="8"/>
            <rFont val="Tahoma"/>
            <family val="0"/>
          </rPr>
          <t xml:space="preserve">
calculated for the unequal-variances t statistic using the Satterthwaite appoximation.</t>
        </r>
      </text>
    </comment>
    <comment ref="AH142" authorId="0">
      <text>
        <r>
          <rPr>
            <b/>
            <sz val="8"/>
            <rFont val="Tahoma"/>
            <family val="0"/>
          </rPr>
          <t>Will Hopkins:</t>
        </r>
        <r>
          <rPr>
            <sz val="8"/>
            <rFont val="Tahoma"/>
            <family val="0"/>
          </rPr>
          <t xml:space="preserve">
calculated for the unequal-variances t statistic using the Satterthwaite appoximation.</t>
        </r>
      </text>
    </comment>
    <comment ref="AH164" authorId="0">
      <text>
        <r>
          <rPr>
            <b/>
            <sz val="8"/>
            <rFont val="Tahoma"/>
            <family val="0"/>
          </rPr>
          <t>Will Hopkins:</t>
        </r>
        <r>
          <rPr>
            <sz val="8"/>
            <rFont val="Tahoma"/>
            <family val="0"/>
          </rPr>
          <t xml:space="preserve">
calculated for the unequal-variances t statistic using the Satterthwaite appoximation.</t>
        </r>
      </text>
    </comment>
    <comment ref="P91" authorId="0">
      <text>
        <r>
          <rPr>
            <b/>
            <sz val="8"/>
            <rFont val="Tahoma"/>
            <family val="0"/>
          </rPr>
          <t>Will Hopkins:</t>
        </r>
        <r>
          <rPr>
            <sz val="8"/>
            <rFont val="Tahoma"/>
            <family val="0"/>
          </rPr>
          <t xml:space="preserve">
calculated for the unequal-variances t statistic using the Satterthwaite appoximation.</t>
        </r>
      </text>
    </comment>
    <comment ref="U91" authorId="0">
      <text>
        <r>
          <rPr>
            <b/>
            <sz val="8"/>
            <rFont val="Tahoma"/>
            <family val="0"/>
          </rPr>
          <t>Will Hopkins:</t>
        </r>
        <r>
          <rPr>
            <sz val="8"/>
            <rFont val="Tahoma"/>
            <family val="0"/>
          </rPr>
          <t xml:space="preserve">
calculated for the unequal-variances t statistic using the Satterthwaite appoximation.</t>
        </r>
      </text>
    </comment>
    <comment ref="AH91" authorId="0">
      <text>
        <r>
          <rPr>
            <b/>
            <sz val="8"/>
            <rFont val="Tahoma"/>
            <family val="0"/>
          </rPr>
          <t>Will Hopkins:</t>
        </r>
        <r>
          <rPr>
            <sz val="8"/>
            <rFont val="Tahoma"/>
            <family val="0"/>
          </rPr>
          <t xml:space="preserve">
calculated for the unequal-variances t statistic using the Satterthwaite appoximation.</t>
        </r>
      </text>
    </comment>
    <comment ref="U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H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U91" authorId="0">
      <text>
        <r>
          <rPr>
            <b/>
            <sz val="8"/>
            <rFont val="Tahoma"/>
            <family val="0"/>
          </rPr>
          <t>Will Hopkins:</t>
        </r>
        <r>
          <rPr>
            <sz val="8"/>
            <rFont val="Tahoma"/>
            <family val="0"/>
          </rPr>
          <t xml:space="preserve">
calculated for the unequal-variances t statistic using the Satterthwaite appoximation.</t>
        </r>
      </text>
    </comment>
    <comment ref="AU142" authorId="0">
      <text>
        <r>
          <rPr>
            <b/>
            <sz val="8"/>
            <rFont val="Tahoma"/>
            <family val="0"/>
          </rPr>
          <t>Will Hopkins:</t>
        </r>
        <r>
          <rPr>
            <sz val="8"/>
            <rFont val="Tahoma"/>
            <family val="0"/>
          </rPr>
          <t xml:space="preserve">
calculated for the unequal-variances t statistic using the Satterthwaite appoximation.</t>
        </r>
      </text>
    </comment>
    <comment ref="AU164" authorId="0">
      <text>
        <r>
          <rPr>
            <b/>
            <sz val="8"/>
            <rFont val="Tahoma"/>
            <family val="0"/>
          </rPr>
          <t>Will Hopkins:</t>
        </r>
        <r>
          <rPr>
            <sz val="8"/>
            <rFont val="Tahoma"/>
            <family val="0"/>
          </rPr>
          <t xml:space="preserve">
calculated for the unequal-variances t statistic using the Satterthwaite appoximation.</t>
        </r>
      </text>
    </comment>
    <comment ref="AC91" authorId="0">
      <text>
        <r>
          <rPr>
            <b/>
            <sz val="8"/>
            <rFont val="Tahoma"/>
            <family val="0"/>
          </rPr>
          <t>Will Hopkins:</t>
        </r>
        <r>
          <rPr>
            <sz val="8"/>
            <rFont val="Tahoma"/>
            <family val="0"/>
          </rPr>
          <t xml:space="preserve">
calculated for the unequal-variances t statistic using the Satterthwaite appoximation.</t>
        </r>
      </text>
    </comment>
    <comment ref="AC142" authorId="0">
      <text>
        <r>
          <rPr>
            <b/>
            <sz val="8"/>
            <rFont val="Tahoma"/>
            <family val="0"/>
          </rPr>
          <t>Will Hopkins:</t>
        </r>
        <r>
          <rPr>
            <sz val="8"/>
            <rFont val="Tahoma"/>
            <family val="0"/>
          </rPr>
          <t xml:space="preserve">
calculated for the unequal-variances t statistic using the Satterthwaite appoximation.</t>
        </r>
      </text>
    </comment>
    <comment ref="AD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AC164" authorId="0">
      <text>
        <r>
          <rPr>
            <b/>
            <sz val="8"/>
            <rFont val="Tahoma"/>
            <family val="0"/>
          </rPr>
          <t>Will Hopkins:</t>
        </r>
        <r>
          <rPr>
            <sz val="8"/>
            <rFont val="Tahoma"/>
            <family val="0"/>
          </rPr>
          <t xml:space="preserve">
calculated for the unequal-variances t statistic using the Satterthwaite appoximation.</t>
        </r>
      </text>
    </comment>
    <comment ref="AD169" authorId="0">
      <text>
        <r>
          <rPr>
            <b/>
            <sz val="8"/>
            <rFont val="Tahoma"/>
            <family val="0"/>
          </rPr>
          <t>Will Hopkins:</t>
        </r>
        <r>
          <rPr>
            <sz val="8"/>
            <rFont val="Tahoma"/>
            <family val="0"/>
          </rPr>
          <t xml:space="preserve">
Copied from adjacent table.  See comment there.</t>
        </r>
      </text>
    </comment>
    <comment ref="G23" authorId="0">
      <text>
        <r>
          <rPr>
            <b/>
            <sz val="8"/>
            <rFont val="Tahoma"/>
            <family val="0"/>
          </rPr>
          <t>Will Hopkins:</t>
        </r>
        <r>
          <rPr>
            <sz val="8"/>
            <rFont val="Tahoma"/>
            <family val="0"/>
          </rPr>
          <t xml:space="preserve">
Do not add data to this column.  Instead. add an entire new column  immediately to the left of this column.</t>
        </r>
      </text>
    </comment>
    <comment ref="AC46" authorId="0">
      <text>
        <r>
          <rPr>
            <b/>
            <sz val="8"/>
            <rFont val="Tahoma"/>
            <family val="0"/>
          </rPr>
          <t>Will Hopkins:</t>
        </r>
        <r>
          <rPr>
            <sz val="8"/>
            <rFont val="Tahoma"/>
            <family val="0"/>
          </rPr>
          <t xml:space="preserve">
The raw value of the observation corresponding to the mean of the rank-transformed variable.</t>
        </r>
      </text>
    </comment>
    <comment ref="AP142" authorId="0">
      <text>
        <r>
          <rPr>
            <b/>
            <sz val="8"/>
            <rFont val="Tahoma"/>
            <family val="0"/>
          </rPr>
          <t>Will Hopkins:</t>
        </r>
        <r>
          <rPr>
            <sz val="8"/>
            <rFont val="Tahoma"/>
            <family val="0"/>
          </rPr>
          <t xml:space="preserve">
calculated for the unequal-variances t statistic using the Satterthwaite appoximation.</t>
        </r>
      </text>
    </comment>
    <comment ref="AQ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AP164" authorId="0">
      <text>
        <r>
          <rPr>
            <b/>
            <sz val="8"/>
            <rFont val="Tahoma"/>
            <family val="0"/>
          </rPr>
          <t>Will Hopkins:</t>
        </r>
        <r>
          <rPr>
            <sz val="8"/>
            <rFont val="Tahoma"/>
            <family val="0"/>
          </rPr>
          <t xml:space="preserve">
calculated for the unequal-variances t statistic using the Satterthwaite appoximation.</t>
        </r>
      </text>
    </comment>
    <comment ref="AQ169" authorId="0">
      <text>
        <r>
          <rPr>
            <b/>
            <sz val="8"/>
            <rFont val="Tahoma"/>
            <family val="0"/>
          </rPr>
          <t>Will Hopkins:</t>
        </r>
        <r>
          <rPr>
            <sz val="8"/>
            <rFont val="Tahoma"/>
            <family val="0"/>
          </rPr>
          <t xml:space="preserve">
Copied from adjacent table.  See comment there.</t>
        </r>
      </text>
    </comment>
    <comment ref="AQ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AU155" authorId="0">
      <text>
        <r>
          <rPr>
            <b/>
            <sz val="8"/>
            <rFont val="Tahoma"/>
            <family val="0"/>
          </rPr>
          <t>Will Hopkins:</t>
        </r>
        <r>
          <rPr>
            <sz val="8"/>
            <rFont val="Tahoma"/>
            <family val="0"/>
          </rPr>
          <t xml:space="preserve">
This SD is reproduced here to reduce problems when columns or tables are copied.</t>
        </r>
      </text>
    </comment>
    <comment ref="AP91" authorId="0">
      <text>
        <r>
          <rPr>
            <b/>
            <sz val="8"/>
            <rFont val="Tahoma"/>
            <family val="0"/>
          </rPr>
          <t>Will Hopkins:</t>
        </r>
        <r>
          <rPr>
            <sz val="8"/>
            <rFont val="Tahoma"/>
            <family val="0"/>
          </rPr>
          <t xml:space="preserve">
calculated for the unequal-variances t statistic using the Satterthwaite appoximation.</t>
        </r>
      </text>
    </comment>
    <comment ref="AP47" authorId="0">
      <text>
        <r>
          <rPr>
            <b/>
            <sz val="8"/>
            <rFont val="Tahoma"/>
            <family val="0"/>
          </rPr>
          <t>Will Hopkins:</t>
        </r>
        <r>
          <rPr>
            <sz val="8"/>
            <rFont val="Tahoma"/>
            <family val="0"/>
          </rPr>
          <t xml:space="preserve">
Half the range between the back-transformed (mean -SD) and back-transformed (mean+SD) .</t>
        </r>
      </text>
    </comment>
    <comment ref="AP74" authorId="0">
      <text>
        <r>
          <rPr>
            <b/>
            <sz val="8"/>
            <rFont val="Tahoma"/>
            <family val="0"/>
          </rPr>
          <t>Will Hopkins:</t>
        </r>
        <r>
          <rPr>
            <sz val="8"/>
            <rFont val="Tahoma"/>
            <family val="0"/>
          </rPr>
          <t xml:space="preserve">
Half the range between the back-transformed (mean -SD) and back-transformed (mean+SD) .</t>
        </r>
      </text>
    </comment>
    <comment ref="AT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AP120" authorId="0">
      <text>
        <r>
          <rPr>
            <b/>
            <sz val="8"/>
            <rFont val="Tahoma"/>
            <family val="0"/>
          </rPr>
          <t>Will Hopkins:</t>
        </r>
        <r>
          <rPr>
            <sz val="8"/>
            <rFont val="Tahoma"/>
            <family val="0"/>
          </rPr>
          <t xml:space="preserve">
calculated for the unequal-variances t statistic using the Satterthwaite appoximation.</t>
        </r>
      </text>
    </comment>
    <comment ref="AU120" authorId="0">
      <text>
        <r>
          <rPr>
            <b/>
            <sz val="8"/>
            <rFont val="Tahoma"/>
            <family val="0"/>
          </rPr>
          <t>Will Hopkins:</t>
        </r>
        <r>
          <rPr>
            <sz val="8"/>
            <rFont val="Tahoma"/>
            <family val="0"/>
          </rPr>
          <t xml:space="preserve">
calculated for the unequal-variances t statistic using the Satterthwaite appoximation.</t>
        </r>
      </text>
    </comment>
    <comment ref="AQ125" authorId="0">
      <text>
        <r>
          <rPr>
            <b/>
            <sz val="8"/>
            <rFont val="Tahoma"/>
            <family val="0"/>
          </rPr>
          <t>Will Hopkins:</t>
        </r>
        <r>
          <rPr>
            <sz val="8"/>
            <rFont val="Tahoma"/>
            <family val="0"/>
          </rPr>
          <t xml:space="preserve">
Copied from adjacent table.  See comment there.</t>
        </r>
      </text>
    </comment>
    <comment ref="AV125" authorId="0">
      <text>
        <r>
          <rPr>
            <b/>
            <sz val="8"/>
            <rFont val="Tahoma"/>
            <family val="0"/>
          </rPr>
          <t>Will Hopkins:</t>
        </r>
        <r>
          <rPr>
            <sz val="8"/>
            <rFont val="Tahoma"/>
            <family val="0"/>
          </rPr>
          <t xml:space="preserve">
insert what you think is the smallest worthwhile change at the chosen value.</t>
        </r>
      </text>
    </comment>
    <comment ref="AV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AU121" authorId="0">
      <text>
        <r>
          <rPr>
            <b/>
            <sz val="8"/>
            <rFont val="Tahoma"/>
            <family val="0"/>
          </rPr>
          <t>Will Hopkins:</t>
        </r>
        <r>
          <rPr>
            <sz val="8"/>
            <rFont val="Tahoma"/>
            <family val="0"/>
          </rPr>
          <t xml:space="preserve">
This is where the effect is estimated at the chosen value.</t>
        </r>
      </text>
    </comment>
    <comment ref="AU134" authorId="0">
      <text>
        <r>
          <rPr>
            <b/>
            <sz val="8"/>
            <rFont val="Tahoma"/>
            <family val="0"/>
          </rPr>
          <t>Will Hopkins:</t>
        </r>
        <r>
          <rPr>
            <sz val="8"/>
            <rFont val="Tahoma"/>
            <family val="0"/>
          </rPr>
          <t xml:space="preserve">
Evaluated at the chosen value.</t>
        </r>
      </text>
    </comment>
    <comment ref="AQ133" authorId="0">
      <text>
        <r>
          <rPr>
            <b/>
            <sz val="8"/>
            <rFont val="Tahoma"/>
            <family val="0"/>
          </rPr>
          <t>Will Hopkins:</t>
        </r>
        <r>
          <rPr>
            <sz val="8"/>
            <rFont val="Tahoma"/>
            <family val="0"/>
          </rPr>
          <t xml:space="preserve">
Copied from adjacent table.</t>
        </r>
      </text>
    </comment>
    <comment ref="AG117" authorId="0">
      <text>
        <r>
          <rPr>
            <b/>
            <sz val="8"/>
            <rFont val="Tahoma"/>
            <family val="0"/>
          </rPr>
          <t>Will Hopkins:</t>
        </r>
        <r>
          <rPr>
            <sz val="8"/>
            <rFont val="Tahoma"/>
            <family val="0"/>
          </rPr>
          <t xml:space="preserve">
This table evaluates the effects at a chosen value of the raw variable.  The default chosen percentile is the overall mean percentile for the pretest.  You can choose a different percentile near the bottom of this table.</t>
        </r>
      </text>
    </comment>
    <comment ref="AC120" authorId="0">
      <text>
        <r>
          <rPr>
            <b/>
            <sz val="8"/>
            <rFont val="Tahoma"/>
            <family val="0"/>
          </rPr>
          <t>Will Hopkins:</t>
        </r>
        <r>
          <rPr>
            <sz val="8"/>
            <rFont val="Tahoma"/>
            <family val="0"/>
          </rPr>
          <t xml:space="preserve">
calculated for the unequal-variances t statistic using the Satterthwaite appoximation.</t>
        </r>
      </text>
    </comment>
    <comment ref="AH120" authorId="0">
      <text>
        <r>
          <rPr>
            <b/>
            <sz val="8"/>
            <rFont val="Tahoma"/>
            <family val="0"/>
          </rPr>
          <t>Will Hopkins:</t>
        </r>
        <r>
          <rPr>
            <sz val="8"/>
            <rFont val="Tahoma"/>
            <family val="0"/>
          </rPr>
          <t xml:space="preserve">
calculated for the unequal-variances t statistic using the Satterthwaite appoximation.</t>
        </r>
      </text>
    </comment>
    <comment ref="AH121" authorId="0">
      <text>
        <r>
          <rPr>
            <b/>
            <sz val="8"/>
            <rFont val="Tahoma"/>
            <family val="0"/>
          </rPr>
          <t>Will Hopkins:</t>
        </r>
        <r>
          <rPr>
            <sz val="8"/>
            <rFont val="Tahoma"/>
            <family val="0"/>
          </rPr>
          <t xml:space="preserve">
This is where the effect is estimated at the chosen value.</t>
        </r>
      </text>
    </comment>
    <comment ref="AD125" authorId="0">
      <text>
        <r>
          <rPr>
            <b/>
            <sz val="8"/>
            <rFont val="Tahoma"/>
            <family val="0"/>
          </rPr>
          <t>Will Hopkins:</t>
        </r>
        <r>
          <rPr>
            <sz val="8"/>
            <rFont val="Tahoma"/>
            <family val="0"/>
          </rPr>
          <t xml:space="preserve">
Copied from adjacent table.  See comment there.</t>
        </r>
      </text>
    </comment>
    <comment ref="AI125" authorId="0">
      <text>
        <r>
          <rPr>
            <b/>
            <sz val="8"/>
            <rFont val="Tahoma"/>
            <family val="0"/>
          </rPr>
          <t>Will Hopkins:</t>
        </r>
        <r>
          <rPr>
            <sz val="8"/>
            <rFont val="Tahoma"/>
            <family val="0"/>
          </rPr>
          <t xml:space="preserve">
insert what you think is the smallest worthwhile change at the raw value corresponding to the chosen percentile.</t>
        </r>
      </text>
    </comment>
    <comment ref="AD133" authorId="0">
      <text>
        <r>
          <rPr>
            <b/>
            <sz val="8"/>
            <rFont val="Tahoma"/>
            <family val="0"/>
          </rPr>
          <t>Will Hopkins:</t>
        </r>
        <r>
          <rPr>
            <sz val="8"/>
            <rFont val="Tahoma"/>
            <family val="0"/>
          </rPr>
          <t xml:space="preserve">
Copied from adjacent table.</t>
        </r>
      </text>
    </comment>
    <comment ref="AI133" authorId="0">
      <text>
        <r>
          <rPr>
            <b/>
            <sz val="8"/>
            <rFont val="Tahoma"/>
            <family val="0"/>
          </rPr>
          <t>Will Hopkins:</t>
        </r>
        <r>
          <rPr>
            <sz val="8"/>
            <rFont val="Tahoma"/>
            <family val="0"/>
          </rPr>
          <t xml:space="preserve">
The default chosen percentile is the overall mean percentile for the pretest.  Put any other value between 0 and 100 in this cell. As values approach 0 or 100, individual responses stop evaluating for good reasons that would take too long to explain here.</t>
        </r>
      </text>
    </comment>
    <comment ref="AH135" authorId="0">
      <text>
        <r>
          <rPr>
            <b/>
            <sz val="8"/>
            <rFont val="Tahoma"/>
            <family val="0"/>
          </rPr>
          <t>Will Hopkins:</t>
        </r>
        <r>
          <rPr>
            <sz val="8"/>
            <rFont val="Tahoma"/>
            <family val="0"/>
          </rPr>
          <t xml:space="preserve">
In raw units, evaluated at the raw value corresponding to the chosen percentile.</t>
        </r>
      </text>
    </comment>
    <comment ref="AB183" authorId="0">
      <text>
        <r>
          <rPr>
            <b/>
            <sz val="8"/>
            <rFont val="Tahoma"/>
            <family val="0"/>
          </rPr>
          <t>Will Hopkins:</t>
        </r>
        <r>
          <rPr>
            <sz val="8"/>
            <rFont val="Tahoma"/>
            <family val="0"/>
          </rPr>
          <t xml:space="preserve">
For assessment of the balance of assignment to the groups, although I don't think the confidence limits can be interpreted.  Analysis is for the transformed data.</t>
        </r>
      </text>
    </comment>
    <comment ref="O183"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Analysis is for the transformed data.</t>
        </r>
      </text>
    </comment>
    <comment ref="BC74" authorId="0">
      <text>
        <r>
          <rPr>
            <b/>
            <sz val="8"/>
            <rFont val="Tahoma"/>
            <family val="0"/>
          </rPr>
          <t>Will Hopkins:</t>
        </r>
        <r>
          <rPr>
            <sz val="8"/>
            <rFont val="Tahoma"/>
            <family val="0"/>
          </rPr>
          <t xml:space="preserve">
Half the range between the back-transformed (mean -SD) and back-transformed (mean+SD) .</t>
        </r>
      </text>
    </comment>
    <comment ref="BC79" authorId="0">
      <text>
        <r>
          <rPr>
            <b/>
            <sz val="8"/>
            <rFont val="Tahoma"/>
            <family val="0"/>
          </rPr>
          <t>Will Hopkins:</t>
        </r>
        <r>
          <rPr>
            <sz val="8"/>
            <rFont val="Tahoma"/>
            <family val="0"/>
          </rPr>
          <t xml:space="preserve">
Used as denominator in formulae for Cohen effect sizes.</t>
        </r>
      </text>
    </comment>
    <comment ref="BC81" authorId="0">
      <text>
        <r>
          <rPr>
            <b/>
            <sz val="8"/>
            <rFont val="Tahoma"/>
            <family val="0"/>
          </rPr>
          <t>Will Hopkins:</t>
        </r>
        <r>
          <rPr>
            <sz val="8"/>
            <rFont val="Tahoma"/>
            <family val="0"/>
          </rPr>
          <t xml:space="preserve">
Half the range between the back-transformed (mean -SD) and back-transformed (mean+SD) .</t>
        </r>
      </text>
    </comment>
    <comment ref="BC91" authorId="0">
      <text>
        <r>
          <rPr>
            <b/>
            <sz val="8"/>
            <rFont val="Tahoma"/>
            <family val="0"/>
          </rPr>
          <t>Will Hopkins:</t>
        </r>
        <r>
          <rPr>
            <sz val="8"/>
            <rFont val="Tahoma"/>
            <family val="0"/>
          </rPr>
          <t xml:space="preserve">
calculated for the unequal-variances t statistic using the Satterthwaite appoximation.</t>
        </r>
      </text>
    </comment>
    <comment ref="BH91" authorId="0">
      <text>
        <r>
          <rPr>
            <b/>
            <sz val="8"/>
            <rFont val="Tahoma"/>
            <family val="0"/>
          </rPr>
          <t>Will Hopkins:</t>
        </r>
        <r>
          <rPr>
            <sz val="8"/>
            <rFont val="Tahoma"/>
            <family val="0"/>
          </rPr>
          <t xml:space="preserve">
calculated for the unequal-variances t statistic using the Satterthwaite appoximation.</t>
        </r>
      </text>
    </comment>
    <comment ref="BG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BC120" authorId="0">
      <text>
        <r>
          <rPr>
            <b/>
            <sz val="8"/>
            <rFont val="Tahoma"/>
            <family val="0"/>
          </rPr>
          <t>Will Hopkins:</t>
        </r>
        <r>
          <rPr>
            <sz val="8"/>
            <rFont val="Tahoma"/>
            <family val="0"/>
          </rPr>
          <t xml:space="preserve">
calculated for the unequal-variances t statistic using the Satterthwaite appoximation.</t>
        </r>
      </text>
    </comment>
    <comment ref="BH120" authorId="0">
      <text>
        <r>
          <rPr>
            <b/>
            <sz val="8"/>
            <rFont val="Tahoma"/>
            <family val="0"/>
          </rPr>
          <t>Will Hopkins:</t>
        </r>
        <r>
          <rPr>
            <sz val="8"/>
            <rFont val="Tahoma"/>
            <family val="0"/>
          </rPr>
          <t xml:space="preserve">
calculated for the unequal-variances t statistic using the Satterthwaite appoximation.</t>
        </r>
      </text>
    </comment>
    <comment ref="BH121" authorId="0">
      <text>
        <r>
          <rPr>
            <b/>
            <sz val="8"/>
            <rFont val="Tahoma"/>
            <family val="0"/>
          </rPr>
          <t>Will Hopkins:</t>
        </r>
        <r>
          <rPr>
            <sz val="8"/>
            <rFont val="Tahoma"/>
            <family val="0"/>
          </rPr>
          <t xml:space="preserve">
This is where the effect is estimated at the chosen value.</t>
        </r>
      </text>
    </comment>
    <comment ref="BD125" authorId="0">
      <text>
        <r>
          <rPr>
            <b/>
            <sz val="8"/>
            <rFont val="Tahoma"/>
            <family val="0"/>
          </rPr>
          <t>Will Hopkins:</t>
        </r>
        <r>
          <rPr>
            <sz val="8"/>
            <rFont val="Tahoma"/>
            <family val="0"/>
          </rPr>
          <t xml:space="preserve">
Copied from adjacent table.  See comment there.</t>
        </r>
      </text>
    </comment>
    <comment ref="BI125" authorId="0">
      <text>
        <r>
          <rPr>
            <b/>
            <sz val="8"/>
            <rFont val="Tahoma"/>
            <family val="0"/>
          </rPr>
          <t>Will Hopkins:</t>
        </r>
        <r>
          <rPr>
            <sz val="8"/>
            <rFont val="Tahoma"/>
            <family val="0"/>
          </rPr>
          <t xml:space="preserve">
insert what you think is the smallest worthwhile change at the chosen value.</t>
        </r>
      </text>
    </comment>
    <comment ref="BD133" authorId="0">
      <text>
        <r>
          <rPr>
            <b/>
            <sz val="8"/>
            <rFont val="Tahoma"/>
            <family val="0"/>
          </rPr>
          <t>Will Hopkins:</t>
        </r>
        <r>
          <rPr>
            <sz val="8"/>
            <rFont val="Tahoma"/>
            <family val="0"/>
          </rPr>
          <t xml:space="preserve">
Copied from adjacent table.</t>
        </r>
      </text>
    </comment>
    <comment ref="BI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BH134" authorId="0">
      <text>
        <r>
          <rPr>
            <b/>
            <sz val="8"/>
            <rFont val="Tahoma"/>
            <family val="0"/>
          </rPr>
          <t>Will Hopkins:</t>
        </r>
        <r>
          <rPr>
            <sz val="8"/>
            <rFont val="Tahoma"/>
            <family val="0"/>
          </rPr>
          <t xml:space="preserve">
Evaluated at the chosen value.</t>
        </r>
      </text>
    </comment>
    <comment ref="BC142" authorId="0">
      <text>
        <r>
          <rPr>
            <b/>
            <sz val="8"/>
            <rFont val="Tahoma"/>
            <family val="0"/>
          </rPr>
          <t>Will Hopkins:</t>
        </r>
        <r>
          <rPr>
            <sz val="8"/>
            <rFont val="Tahoma"/>
            <family val="0"/>
          </rPr>
          <t xml:space="preserve">
calculated for the unequal-variances t statistic using the Satterthwaite appoximation.</t>
        </r>
      </text>
    </comment>
    <comment ref="BH142" authorId="0">
      <text>
        <r>
          <rPr>
            <b/>
            <sz val="8"/>
            <rFont val="Tahoma"/>
            <family val="0"/>
          </rPr>
          <t>Will Hopkins:</t>
        </r>
        <r>
          <rPr>
            <sz val="8"/>
            <rFont val="Tahoma"/>
            <family val="0"/>
          </rPr>
          <t xml:space="preserve">
calculated for the unequal-variances t statistic using the Satterthwaite appoximation.</t>
        </r>
      </text>
    </comment>
    <comment ref="BD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BI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BH155" authorId="0">
      <text>
        <r>
          <rPr>
            <b/>
            <sz val="8"/>
            <rFont val="Tahoma"/>
            <family val="0"/>
          </rPr>
          <t>Will Hopkins:</t>
        </r>
        <r>
          <rPr>
            <sz val="8"/>
            <rFont val="Tahoma"/>
            <family val="0"/>
          </rPr>
          <t xml:space="preserve">
This SD is reproduced here to reduce problems when columns or tables are copied.</t>
        </r>
      </text>
    </comment>
    <comment ref="BH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G161" authorId="0">
      <text>
        <r>
          <rPr>
            <b/>
            <sz val="8"/>
            <rFont val="Tahoma"/>
            <family val="0"/>
          </rPr>
          <t>Will Hopkins:</t>
        </r>
        <r>
          <rPr>
            <sz val="8"/>
            <rFont val="Tahoma"/>
            <family val="0"/>
          </rPr>
          <t xml:space="preserve">
This table is used to get some of  the Cohen table.  Don't modify it or take values from it directly.</t>
        </r>
      </text>
    </comment>
    <comment ref="BC164" authorId="0">
      <text>
        <r>
          <rPr>
            <b/>
            <sz val="8"/>
            <rFont val="Tahoma"/>
            <family val="0"/>
          </rPr>
          <t>Will Hopkins:</t>
        </r>
        <r>
          <rPr>
            <sz val="8"/>
            <rFont val="Tahoma"/>
            <family val="0"/>
          </rPr>
          <t xml:space="preserve">
calculated for the unequal-variances t statistic using the Satterthwaite appoximation.</t>
        </r>
      </text>
    </comment>
    <comment ref="BH164" authorId="0">
      <text>
        <r>
          <rPr>
            <b/>
            <sz val="8"/>
            <rFont val="Tahoma"/>
            <family val="0"/>
          </rPr>
          <t>Will Hopkins:</t>
        </r>
        <r>
          <rPr>
            <sz val="8"/>
            <rFont val="Tahoma"/>
            <family val="0"/>
          </rPr>
          <t xml:space="preserve">
calculated for the unequal-variances t statistic using the Satterthwaite appoximation.</t>
        </r>
      </text>
    </comment>
    <comment ref="BD169" authorId="0">
      <text>
        <r>
          <rPr>
            <b/>
            <sz val="8"/>
            <rFont val="Tahoma"/>
            <family val="0"/>
          </rPr>
          <t>Will Hopkins:</t>
        </r>
        <r>
          <rPr>
            <sz val="8"/>
            <rFont val="Tahoma"/>
            <family val="0"/>
          </rPr>
          <t xml:space="preserve">
Copied from adjacent table.  See comment there.</t>
        </r>
      </text>
    </comment>
    <comment ref="BI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BD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B18" authorId="0">
      <text>
        <r>
          <rPr>
            <b/>
            <sz val="8"/>
            <rFont val="Tahoma"/>
            <family val="0"/>
          </rPr>
          <t>Will Hopkins:</t>
        </r>
        <r>
          <rPr>
            <sz val="8"/>
            <rFont val="Tahoma"/>
            <family val="0"/>
          </rPr>
          <t xml:space="preserve">
The SD representing individual responses is the typical variation in the response to the treatment from individual to individual.  So, if the mean response is 3.0 units and the SD representing individual responses is 2.0 units, most individuals (about two-thirds) will have a response somewhere in the region of 1 to 5 (3-2 to 3+2). 
Confidence limits for the SD representing individual responses are based on the assumption that the sampling distribution of the difference of the variances of the change scores is normal (one of the methods used in Proc Mixed in SAS, version 8).   The sampling variance of each variance is 2(variance)^2/(degrees of freedom).  The sampling variance of the difference in the variances is simply the sum of the two sampling variances, because the control and experimental groups are independent.</t>
        </r>
      </text>
    </comment>
    <comment ref="U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P84" authorId="0">
      <text>
        <r>
          <rPr>
            <b/>
            <sz val="8"/>
            <rFont val="Tahoma"/>
            <family val="0"/>
          </rPr>
          <t>Will Hopkins:</t>
        </r>
        <r>
          <rPr>
            <sz val="8"/>
            <rFont val="Tahoma"/>
            <family val="0"/>
          </rPr>
          <t xml:space="preserve">
P values and so on for the comparison of means and SDs in the pretest appear in tables below.</t>
        </r>
      </text>
    </comment>
    <comment ref="C81" authorId="0">
      <text>
        <r>
          <rPr>
            <b/>
            <sz val="8"/>
            <rFont val="Tahoma"/>
            <family val="0"/>
          </rPr>
          <t>Will Hopkins:</t>
        </r>
        <r>
          <rPr>
            <sz val="8"/>
            <rFont val="Tahoma"/>
            <family val="0"/>
          </rPr>
          <t xml:space="preserve">
Used for percentile rank transformation.</t>
        </r>
      </text>
    </comment>
    <comment ref="C84" authorId="0">
      <text>
        <r>
          <rPr>
            <b/>
            <sz val="8"/>
            <rFont val="Tahoma"/>
            <family val="0"/>
          </rPr>
          <t>Will Hopkins:</t>
        </r>
        <r>
          <rPr>
            <sz val="8"/>
            <rFont val="Tahoma"/>
            <family val="0"/>
          </rPr>
          <t xml:space="preserve">
P values and so on for the comparison of means and SDs in the pretest appear in tables below.</t>
        </r>
      </text>
    </comment>
    <comment ref="H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AH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AU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BH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O22" authorId="0">
      <text>
        <r>
          <rPr>
            <b/>
            <sz val="8"/>
            <rFont val="Tahoma"/>
            <family val="0"/>
          </rPr>
          <t>Will Hopkins:</t>
        </r>
        <r>
          <rPr>
            <sz val="8"/>
            <rFont val="Tahoma"/>
            <family val="0"/>
          </rPr>
          <t xml:space="preserve">
Use for most kinds of performance and physiological measures.</t>
        </r>
      </text>
    </comment>
    <comment ref="AB22" authorId="0">
      <text>
        <r>
          <rPr>
            <b/>
            <sz val="8"/>
            <rFont val="Tahoma"/>
            <family val="0"/>
          </rPr>
          <t>Will Hopkins:</t>
        </r>
        <r>
          <rPr>
            <sz val="8"/>
            <rFont val="Tahoma"/>
            <family val="0"/>
          </rPr>
          <t xml:space="preserve">
Use for grossly non-normal data, such as physical activity.</t>
        </r>
      </text>
    </comment>
    <comment ref="AO22" authorId="0">
      <text>
        <r>
          <rPr>
            <b/>
            <sz val="8"/>
            <rFont val="Tahoma"/>
            <family val="0"/>
          </rPr>
          <t>Will Hopkins:</t>
        </r>
        <r>
          <rPr>
            <sz val="8"/>
            <rFont val="Tahoma"/>
            <family val="0"/>
          </rPr>
          <t xml:space="preserve">
Use for counts, such as injuries or points scored.</t>
        </r>
      </text>
    </comment>
    <comment ref="BB22" authorId="0">
      <text>
        <r>
          <rPr>
            <b/>
            <sz val="8"/>
            <rFont val="Tahoma"/>
            <family val="0"/>
          </rPr>
          <t>Will Hopkins:</t>
        </r>
        <r>
          <rPr>
            <sz val="8"/>
            <rFont val="Tahoma"/>
            <family val="0"/>
          </rPr>
          <t xml:space="preserve">
Use for proportions, expressed as percents (0-100).  Modify your raw data, if necessary.</t>
        </r>
      </text>
    </comment>
    <comment ref="T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U207" authorId="0">
      <text>
        <r>
          <rPr>
            <b/>
            <sz val="8"/>
            <rFont val="Tahoma"/>
            <family val="0"/>
          </rPr>
          <t>Will Hopkins:</t>
        </r>
        <r>
          <rPr>
            <sz val="8"/>
            <rFont val="Tahoma"/>
            <family val="0"/>
          </rPr>
          <t xml:space="preserve">
The uncertainty factor here is correct, but it gives a misleading impression that the estimate of the SD is precise.</t>
        </r>
      </text>
    </comment>
    <comment ref="G15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G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T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G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O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O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O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O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142"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83"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Analysis is for the transformed data.</t>
        </r>
      </text>
    </comment>
    <comment ref="AO183"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Analysis is for the transformed data.</t>
        </r>
      </text>
    </comment>
    <comment ref="A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C84" authorId="0">
      <text>
        <r>
          <rPr>
            <b/>
            <sz val="8"/>
            <rFont val="Tahoma"/>
            <family val="0"/>
          </rPr>
          <t>Will Hopkins:</t>
        </r>
        <r>
          <rPr>
            <sz val="8"/>
            <rFont val="Tahoma"/>
            <family val="0"/>
          </rPr>
          <t xml:space="preserve">
P values and so on for the comparison of means and SDs in the pretest appear in tables below.</t>
        </r>
      </text>
    </comment>
    <comment ref="AP84" authorId="0">
      <text>
        <r>
          <rPr>
            <b/>
            <sz val="8"/>
            <rFont val="Tahoma"/>
            <family val="0"/>
          </rPr>
          <t>Will Hopkins:</t>
        </r>
        <r>
          <rPr>
            <sz val="8"/>
            <rFont val="Tahoma"/>
            <family val="0"/>
          </rPr>
          <t xml:space="preserve">
P values and so on for the comparison of means and SDs in the pretest appear in tables below.</t>
        </r>
      </text>
    </comment>
    <comment ref="BC84" authorId="0">
      <text>
        <r>
          <rPr>
            <b/>
            <sz val="8"/>
            <rFont val="Tahoma"/>
            <family val="0"/>
          </rPr>
          <t>Will Hopkins:</t>
        </r>
        <r>
          <rPr>
            <sz val="8"/>
            <rFont val="Tahoma"/>
            <family val="0"/>
          </rPr>
          <t xml:space="preserve">
P values and so on for the comparison of means and SDs in the pretest appear in tables below.</t>
        </r>
      </text>
    </comment>
    <comment ref="T23" authorId="0">
      <text>
        <r>
          <rPr>
            <b/>
            <sz val="8"/>
            <rFont val="Tahoma"/>
            <family val="0"/>
          </rPr>
          <t>Will Hopkins:</t>
        </r>
        <r>
          <rPr>
            <sz val="8"/>
            <rFont val="Tahoma"/>
            <family val="0"/>
          </rPr>
          <t xml:space="preserve">
Do not add data to this column.  Instead. add an entire new column  immediately to the left of this column.</t>
        </r>
      </text>
    </comment>
    <comment ref="U23" authorId="0">
      <text>
        <r>
          <rPr>
            <b/>
            <sz val="8"/>
            <rFont val="Tahoma"/>
            <family val="0"/>
          </rPr>
          <t>Will Hopkins:</t>
        </r>
        <r>
          <rPr>
            <sz val="8"/>
            <rFont val="Tahoma"/>
            <family val="0"/>
          </rPr>
          <t xml:space="preserve">
Do not insert a new column  immediately to the left of this column.</t>
        </r>
      </text>
    </comment>
    <comment ref="AG23" authorId="0">
      <text>
        <r>
          <rPr>
            <b/>
            <sz val="8"/>
            <rFont val="Tahoma"/>
            <family val="0"/>
          </rPr>
          <t>Will Hopkins:</t>
        </r>
        <r>
          <rPr>
            <sz val="8"/>
            <rFont val="Tahoma"/>
            <family val="0"/>
          </rPr>
          <t xml:space="preserve">
Do not add data to this column.  Instead. add an entire new column  immediately to the left of this column.</t>
        </r>
      </text>
    </comment>
    <comment ref="AH23" authorId="0">
      <text>
        <r>
          <rPr>
            <b/>
            <sz val="8"/>
            <rFont val="Tahoma"/>
            <family val="0"/>
          </rPr>
          <t>Will Hopkins:</t>
        </r>
        <r>
          <rPr>
            <sz val="8"/>
            <rFont val="Tahoma"/>
            <family val="0"/>
          </rPr>
          <t xml:space="preserve">
Do not insert a new column  immediately to the left of this column.</t>
        </r>
      </text>
    </comment>
    <comment ref="AT23" authorId="0">
      <text>
        <r>
          <rPr>
            <b/>
            <sz val="8"/>
            <rFont val="Tahoma"/>
            <family val="0"/>
          </rPr>
          <t>Will Hopkins:</t>
        </r>
        <r>
          <rPr>
            <sz val="8"/>
            <rFont val="Tahoma"/>
            <family val="0"/>
          </rPr>
          <t xml:space="preserve">
Do not add data to this column.  Instead. add an entire new column  immediately to the left of this column.</t>
        </r>
      </text>
    </comment>
    <comment ref="AU23" authorId="0">
      <text>
        <r>
          <rPr>
            <b/>
            <sz val="8"/>
            <rFont val="Tahoma"/>
            <family val="0"/>
          </rPr>
          <t>Will Hopkins:</t>
        </r>
        <r>
          <rPr>
            <sz val="8"/>
            <rFont val="Tahoma"/>
            <family val="0"/>
          </rPr>
          <t xml:space="preserve">
Do not insert a new column  immediately to the left of this column.</t>
        </r>
      </text>
    </comment>
    <comment ref="BG23" authorId="0">
      <text>
        <r>
          <rPr>
            <b/>
            <sz val="8"/>
            <rFont val="Tahoma"/>
            <family val="0"/>
          </rPr>
          <t>Will Hopkins:</t>
        </r>
        <r>
          <rPr>
            <sz val="8"/>
            <rFont val="Tahoma"/>
            <family val="0"/>
          </rPr>
          <t xml:space="preserve">
Do not add data to this column.  Instead. add an entire new column  immediately to the left of this column.</t>
        </r>
      </text>
    </comment>
    <comment ref="BH23" authorId="0">
      <text>
        <r>
          <rPr>
            <b/>
            <sz val="8"/>
            <rFont val="Tahoma"/>
            <family val="0"/>
          </rPr>
          <t>Will Hopkins:</t>
        </r>
        <r>
          <rPr>
            <sz val="8"/>
            <rFont val="Tahoma"/>
            <family val="0"/>
          </rPr>
          <t xml:space="preserve">
Do not insert a new column  immediately to the left of this column.</t>
        </r>
      </text>
    </comment>
    <comment ref="AP79" authorId="0">
      <text>
        <r>
          <rPr>
            <b/>
            <sz val="8"/>
            <rFont val="Tahoma"/>
            <family val="0"/>
          </rPr>
          <t>Will Hopkins:</t>
        </r>
        <r>
          <rPr>
            <sz val="8"/>
            <rFont val="Tahoma"/>
            <family val="0"/>
          </rPr>
          <t xml:space="preserve">
Used as denominator in formulae for Cohen effect sizes.</t>
        </r>
      </text>
    </comment>
    <comment ref="AP81" authorId="0">
      <text>
        <r>
          <rPr>
            <b/>
            <sz val="8"/>
            <rFont val="Tahoma"/>
            <family val="0"/>
          </rPr>
          <t>Will Hopkins:</t>
        </r>
        <r>
          <rPr>
            <sz val="8"/>
            <rFont val="Tahoma"/>
            <family val="0"/>
          </rPr>
          <t xml:space="preserve">
Half the range between the back-transformed (mean -SD) and back-transformed (mean+SD) .</t>
        </r>
      </text>
    </comment>
    <comment ref="C133" authorId="0">
      <text>
        <r>
          <rPr>
            <b/>
            <sz val="8"/>
            <rFont val="Tahoma"/>
            <family val="0"/>
          </rPr>
          <t>Will Hopkins:</t>
        </r>
        <r>
          <rPr>
            <sz val="8"/>
            <rFont val="Tahoma"/>
            <family val="0"/>
          </rPr>
          <t xml:space="preserve">
This SD is reproduced here to reduce problems when columns or tables are copied.</t>
        </r>
      </text>
    </comment>
    <comment ref="AC155" authorId="0">
      <text>
        <r>
          <rPr>
            <b/>
            <sz val="8"/>
            <rFont val="Tahoma"/>
            <family val="0"/>
          </rPr>
          <t>Will Hopkins:</t>
        </r>
        <r>
          <rPr>
            <sz val="8"/>
            <rFont val="Tahoma"/>
            <family val="0"/>
          </rPr>
          <t xml:space="preserve">
This SD is reproduced here to reduce problems when columns or tables are copied.</t>
        </r>
      </text>
    </comment>
    <comment ref="U155" authorId="0">
      <text>
        <r>
          <rPr>
            <b/>
            <sz val="8"/>
            <rFont val="Tahoma"/>
            <family val="0"/>
          </rPr>
          <t>Will Hopkins:</t>
        </r>
        <r>
          <rPr>
            <sz val="8"/>
            <rFont val="Tahoma"/>
            <family val="0"/>
          </rPr>
          <t xml:space="preserve">
This SD is reproduced here to reduce problems when columns or tables are copied.</t>
        </r>
      </text>
    </comment>
    <comment ref="P155" authorId="0">
      <text>
        <r>
          <rPr>
            <b/>
            <sz val="8"/>
            <rFont val="Tahoma"/>
            <family val="0"/>
          </rPr>
          <t>Will Hopkins:</t>
        </r>
        <r>
          <rPr>
            <sz val="8"/>
            <rFont val="Tahoma"/>
            <family val="0"/>
          </rPr>
          <t xml:space="preserve">
This SD is reproduced here to reduce problems when columns or tables are copied.</t>
        </r>
      </text>
    </comment>
    <comment ref="AH155" authorId="0">
      <text>
        <r>
          <rPr>
            <b/>
            <sz val="8"/>
            <rFont val="Tahoma"/>
            <family val="0"/>
          </rPr>
          <t>Will Hopkins:</t>
        </r>
        <r>
          <rPr>
            <sz val="8"/>
            <rFont val="Tahoma"/>
            <family val="0"/>
          </rPr>
          <t xml:space="preserve">
This SD is reproduced here to reduce problems when columns or tables are copied.</t>
        </r>
      </text>
    </comment>
    <comment ref="AP155" authorId="0">
      <text>
        <r>
          <rPr>
            <b/>
            <sz val="8"/>
            <rFont val="Tahoma"/>
            <family val="0"/>
          </rPr>
          <t>Will Hopkins:</t>
        </r>
        <r>
          <rPr>
            <sz val="8"/>
            <rFont val="Tahoma"/>
            <family val="0"/>
          </rPr>
          <t xml:space="preserve">
This SD is reproduced here to reduce problems when columns or tables are copied.</t>
        </r>
      </text>
    </comment>
    <comment ref="BC155" authorId="0">
      <text>
        <r>
          <rPr>
            <b/>
            <sz val="8"/>
            <rFont val="Tahoma"/>
            <family val="0"/>
          </rPr>
          <t>Will Hopkins:</t>
        </r>
        <r>
          <rPr>
            <sz val="8"/>
            <rFont val="Tahoma"/>
            <family val="0"/>
          </rPr>
          <t xml:space="preserve">
This SD is reproduced here to reduce problems when columns or tables are copied.</t>
        </r>
      </text>
    </comment>
    <comment ref="D23" authorId="0">
      <text>
        <r>
          <rPr>
            <b/>
            <sz val="8"/>
            <rFont val="Tahoma"/>
            <family val="0"/>
          </rPr>
          <t>Will Hopkins:</t>
        </r>
        <r>
          <rPr>
            <sz val="8"/>
            <rFont val="Tahoma"/>
            <family val="0"/>
          </rPr>
          <t xml:space="preserve">
Do not insert a new column  immediately to the left of this column.</t>
        </r>
      </text>
    </comment>
    <comment ref="Q23" authorId="0">
      <text>
        <r>
          <rPr>
            <b/>
            <sz val="8"/>
            <rFont val="Tahoma"/>
            <family val="0"/>
          </rPr>
          <t>Will Hopkins:</t>
        </r>
        <r>
          <rPr>
            <sz val="8"/>
            <rFont val="Tahoma"/>
            <family val="0"/>
          </rPr>
          <t xml:space="preserve">
Do not insert a new column  immediately to the left of this column.</t>
        </r>
      </text>
    </comment>
    <comment ref="AD23" authorId="0">
      <text>
        <r>
          <rPr>
            <b/>
            <sz val="8"/>
            <rFont val="Tahoma"/>
            <family val="0"/>
          </rPr>
          <t>Will Hopkins:</t>
        </r>
        <r>
          <rPr>
            <sz val="8"/>
            <rFont val="Tahoma"/>
            <family val="0"/>
          </rPr>
          <t xml:space="preserve">
Do not insert a new column  immediately to the left of this column.</t>
        </r>
      </text>
    </comment>
    <comment ref="AQ23" authorId="0">
      <text>
        <r>
          <rPr>
            <b/>
            <sz val="8"/>
            <rFont val="Tahoma"/>
            <family val="0"/>
          </rPr>
          <t>Will Hopkins:</t>
        </r>
        <r>
          <rPr>
            <sz val="8"/>
            <rFont val="Tahoma"/>
            <family val="0"/>
          </rPr>
          <t xml:space="preserve">
Do not insert a new column  immediately to the left of this column.</t>
        </r>
      </text>
    </comment>
    <comment ref="BD23" authorId="0">
      <text>
        <r>
          <rPr>
            <b/>
            <sz val="8"/>
            <rFont val="Tahoma"/>
            <family val="0"/>
          </rPr>
          <t>Will Hopkins:</t>
        </r>
        <r>
          <rPr>
            <sz val="8"/>
            <rFont val="Tahoma"/>
            <family val="0"/>
          </rPr>
          <t xml:space="preserve">
Do not insert a new column  immediately to the left of this column.</t>
        </r>
      </text>
    </comment>
    <comment ref="BC47" authorId="0">
      <text>
        <r>
          <rPr>
            <b/>
            <sz val="8"/>
            <rFont val="Tahoma"/>
            <family val="0"/>
          </rPr>
          <t>Will Hopkins:</t>
        </r>
        <r>
          <rPr>
            <sz val="8"/>
            <rFont val="Tahoma"/>
            <family val="0"/>
          </rPr>
          <t xml:space="preserve">
Half the range between the back-transformed (mean -SD) and back-transformed (mean+SD) .</t>
        </r>
      </text>
    </comment>
    <comment ref="AC47" authorId="0">
      <text>
        <r>
          <rPr>
            <b/>
            <sz val="8"/>
            <rFont val="Tahoma"/>
            <family val="0"/>
          </rPr>
          <t>Will Hopkins:</t>
        </r>
        <r>
          <rPr>
            <sz val="8"/>
            <rFont val="Tahoma"/>
            <family val="0"/>
          </rPr>
          <t xml:space="preserve">
Half the range between the back-transformed (mean -SD) and back-transformed (mean+SD) .</t>
        </r>
      </text>
    </comment>
    <comment ref="U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H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U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BH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B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B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O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O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O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C112"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C135" authorId="0">
      <text>
        <r>
          <rPr>
            <b/>
            <sz val="8"/>
            <rFont val="Tahoma"/>
            <family val="0"/>
          </rPr>
          <t>Will Hopkins:</t>
        </r>
        <r>
          <rPr>
            <sz val="8"/>
            <rFont val="Tahoma"/>
            <family val="0"/>
          </rPr>
          <t xml:space="preserve">
In raw units, evaluated at the raw value corresponding to the chosen percentile.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P134" authorId="0">
      <text>
        <r>
          <rPr>
            <b/>
            <sz val="8"/>
            <rFont val="Tahoma"/>
            <family val="0"/>
          </rPr>
          <t>Will Hopkins:</t>
        </r>
        <r>
          <rPr>
            <sz val="8"/>
            <rFont val="Tahoma"/>
            <family val="0"/>
          </rPr>
          <t xml:space="preserve">
In raw units, evaluated at the chosen value.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C134"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P112"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P134"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P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C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P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BC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BC134" authorId="0">
      <text>
        <r>
          <rPr>
            <b/>
            <sz val="8"/>
            <rFont val="Tahoma"/>
            <family val="0"/>
          </rPr>
          <t>Will Hopkins:</t>
        </r>
        <r>
          <rPr>
            <sz val="8"/>
            <rFont val="Tahoma"/>
            <family val="0"/>
          </rPr>
          <t xml:space="preserve">
In raw units, evaluated at the chosen value.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List>
</comments>
</file>

<file path=xl/sharedStrings.xml><?xml version="1.0" encoding="utf-8"?>
<sst xmlns="http://schemas.openxmlformats.org/spreadsheetml/2006/main" count="983" uniqueCount="190">
  <si>
    <t>Name</t>
  </si>
  <si>
    <t>Sam</t>
  </si>
  <si>
    <t>mean</t>
  </si>
  <si>
    <t>SD</t>
  </si>
  <si>
    <t>Phil</t>
  </si>
  <si>
    <t>p value</t>
  </si>
  <si>
    <t>Raw Data</t>
  </si>
  <si>
    <t>Pre</t>
  </si>
  <si>
    <t>Post1</t>
  </si>
  <si>
    <t>Post2</t>
  </si>
  <si>
    <t>Log-transformed Data</t>
  </si>
  <si>
    <t>back-transformed mean</t>
  </si>
  <si>
    <t>SD as a CV (%)</t>
  </si>
  <si>
    <r>
      <t xml:space="preserve">SD as </t>
    </r>
    <r>
      <rPr>
        <sz val="10"/>
        <rFont val="Symbol"/>
        <family val="1"/>
      </rPr>
      <t>´¤¸</t>
    </r>
    <r>
      <rPr>
        <sz val="10"/>
        <rFont val="Arial"/>
        <family val="2"/>
      </rPr>
      <t xml:space="preserve"> factor</t>
    </r>
  </si>
  <si>
    <t>log mean</t>
  </si>
  <si>
    <t>log SD</t>
  </si>
  <si>
    <t>%</t>
  </si>
  <si>
    <t>.</t>
  </si>
  <si>
    <t>conf. level (%)</t>
  </si>
  <si>
    <t xml:space="preserve">lower </t>
  </si>
  <si>
    <t xml:space="preserve">upper </t>
  </si>
  <si>
    <t xml:space="preserve"> "±"</t>
  </si>
  <si>
    <t>threshold values for clinical chances</t>
  </si>
  <si>
    <t>trivial</t>
  </si>
  <si>
    <t>+ ive</t>
  </si>
  <si>
    <t>- ive</t>
  </si>
  <si>
    <t>Chances (% and qualitative) that the true value of the statistic is clinically, practically or mechanistially…</t>
  </si>
  <si>
    <t>???</t>
  </si>
  <si>
    <t>indiv. responses as SD</t>
  </si>
  <si>
    <t>Outcomes in raw units</t>
  </si>
  <si>
    <t>degrees of freedom</t>
  </si>
  <si>
    <t>Outcomes in Cohen units</t>
  </si>
  <si>
    <t>ind. resp. as Cohenized SD</t>
  </si>
  <si>
    <t>Outcomes as factors</t>
  </si>
  <si>
    <t>Outcomes as percents</t>
  </si>
  <si>
    <t>Outcomes in log units</t>
  </si>
  <si>
    <t>indiv. responses as SD factor</t>
  </si>
  <si>
    <t>indiv. responses as CV (%)</t>
  </si>
  <si>
    <t>Outcomes in rank units</t>
  </si>
  <si>
    <t>Group</t>
  </si>
  <si>
    <t>Control</t>
  </si>
  <si>
    <t>Exptal</t>
  </si>
  <si>
    <t>other effect</t>
  </si>
  <si>
    <r>
      <t xml:space="preserve"> "</t>
    </r>
    <r>
      <rPr>
        <sz val="11"/>
        <rFont val="Symbol"/>
        <family val="1"/>
      </rPr>
      <t>´¤¸</t>
    </r>
    <r>
      <rPr>
        <sz val="10"/>
        <rFont val="Arial"/>
        <family val="2"/>
      </rPr>
      <t xml:space="preserve">" </t>
    </r>
  </si>
  <si>
    <t>transformed mean</t>
  </si>
  <si>
    <t>transformed SD</t>
  </si>
  <si>
    <t>pre-test SD for Cohen</t>
  </si>
  <si>
    <t>Reference: Hopkins WG (2003). How to analyze a straightforward controlled trial (Excel spreadsheet). newstats.org/xcontrial.xls</t>
  </si>
  <si>
    <t xml:space="preserve">    Double-click on one of the mean or SD cells to check that you have done this operation properly.  Colored boxes should enclose all your data.</t>
  </si>
  <si>
    <t>Alison</t>
  </si>
  <si>
    <t>Bailey</t>
  </si>
  <si>
    <t>Chris</t>
  </si>
  <si>
    <t>Courtney</t>
  </si>
  <si>
    <t>Devin</t>
  </si>
  <si>
    <t>Drew</t>
  </si>
  <si>
    <t>Emlyn</t>
  </si>
  <si>
    <t>Jayden</t>
  </si>
  <si>
    <t>Jo</t>
  </si>
  <si>
    <t>Jesse</t>
  </si>
  <si>
    <t>Jodi</t>
  </si>
  <si>
    <t>Kelly</t>
  </si>
  <si>
    <t>Kerry</t>
  </si>
  <si>
    <t>Kieran</t>
  </si>
  <si>
    <t>Lee</t>
  </si>
  <si>
    <t>Leslie</t>
  </si>
  <si>
    <t>Morgan</t>
  </si>
  <si>
    <t>Quinn</t>
  </si>
  <si>
    <t>Reece</t>
  </si>
  <si>
    <t>Robin</t>
  </si>
  <si>
    <t>Alex</t>
  </si>
  <si>
    <t>Lin</t>
  </si>
  <si>
    <t>Ira</t>
  </si>
  <si>
    <t>Kim</t>
  </si>
  <si>
    <t>Mel</t>
  </si>
  <si>
    <t>Pat</t>
  </si>
  <si>
    <t>Al</t>
  </si>
  <si>
    <t>Nat</t>
  </si>
  <si>
    <t>Jan</t>
  </si>
  <si>
    <t>Wil</t>
  </si>
  <si>
    <t>Dylan</t>
  </si>
  <si>
    <t>Jade</t>
  </si>
  <si>
    <t>Kennedy</t>
  </si>
  <si>
    <t>Danny</t>
  </si>
  <si>
    <t>Eddie</t>
  </si>
  <si>
    <t>Vivian</t>
  </si>
  <si>
    <t>Nicky</t>
  </si>
  <si>
    <t xml:space="preserve">    Insert a new column into any transformed data you use, and copy the transformation from an adjacent cell on the left.</t>
  </si>
  <si>
    <t xml:space="preserve">    Do the same to any transformed data you use. Copy the function representing the extra effect directly from the Raw Data table.</t>
  </si>
  <si>
    <r>
      <t xml:space="preserve">If you insert an entire new column for an </t>
    </r>
    <r>
      <rPr>
        <b/>
        <sz val="10"/>
        <rFont val="Arial"/>
        <family val="2"/>
      </rPr>
      <t>extra effect…</t>
    </r>
  </si>
  <si>
    <r>
      <t>Missing values</t>
    </r>
    <r>
      <rPr>
        <sz val="10"/>
        <rFont val="Arial"/>
        <family val="0"/>
      </rPr>
      <t xml:space="preserve"> can be blanks, periods, or any non-numeric character(s). </t>
    </r>
  </si>
  <si>
    <t>typical deviation</t>
  </si>
  <si>
    <r>
      <t xml:space="preserve">diff. in </t>
    </r>
    <r>
      <rPr>
        <sz val="10"/>
        <rFont val="Arial"/>
        <family val="2"/>
      </rPr>
      <t>mean</t>
    </r>
  </si>
  <si>
    <r>
      <t xml:space="preserve">diff. in </t>
    </r>
    <r>
      <rPr>
        <sz val="10"/>
        <rFont val="Arial"/>
        <family val="2"/>
      </rPr>
      <t>mean as Cohen ES</t>
    </r>
  </si>
  <si>
    <r>
      <t xml:space="preserve">diff. in </t>
    </r>
    <r>
      <rPr>
        <sz val="10"/>
        <rFont val="Arial"/>
        <family val="2"/>
      </rPr>
      <t>mean (%)</t>
    </r>
  </si>
  <si>
    <t>diff. in log mean</t>
  </si>
  <si>
    <r>
      <t xml:space="preserve">diff. in </t>
    </r>
    <r>
      <rPr>
        <sz val="10"/>
        <rFont val="Arial"/>
        <family val="2"/>
      </rPr>
      <t>mean as factor</t>
    </r>
  </si>
  <si>
    <r>
      <t xml:space="preserve">diff. in mean as </t>
    </r>
    <r>
      <rPr>
        <sz val="10"/>
        <rFont val="Symbol"/>
        <family val="1"/>
      </rPr>
      <t>´¤¸</t>
    </r>
    <r>
      <rPr>
        <sz val="10"/>
        <rFont val="Arial"/>
        <family val="2"/>
      </rPr>
      <t xml:space="preserve"> factor</t>
    </r>
  </si>
  <si>
    <t>ratio SDexptal / SDcontrol</t>
  </si>
  <si>
    <t>thresholds for clinical chances</t>
  </si>
  <si>
    <t>Difference in group means in raw units</t>
  </si>
  <si>
    <t>Ratio of group SDs</t>
  </si>
  <si>
    <t>reference ratio for</t>
  </si>
  <si>
    <t>clinically &gt;</t>
  </si>
  <si>
    <t>clinically &lt;</t>
  </si>
  <si>
    <t>Chances (% and qualitative) that the true ratio is clinically, practically or mechanistially…</t>
  </si>
  <si>
    <t>less</t>
  </si>
  <si>
    <t>more</t>
  </si>
  <si>
    <t>Choose level of confidence:</t>
  </si>
  <si>
    <t>read
me</t>
  </si>
  <si>
    <t>diff. in transformed mean</t>
  </si>
  <si>
    <t>Root-transformed Data</t>
  </si>
  <si>
    <t>chosen value</t>
  </si>
  <si>
    <t>1</t>
  </si>
  <si>
    <t>Outcomes in transformed units</t>
  </si>
  <si>
    <t>Outcomes at a chosen raw value</t>
  </si>
  <si>
    <t>Group difference at a chosen raw value</t>
  </si>
  <si>
    <r>
      <t xml:space="preserve">diff. in </t>
    </r>
    <r>
      <rPr>
        <sz val="9"/>
        <rFont val="Arial"/>
        <family val="2"/>
      </rPr>
      <t>mean as Cohen ES</t>
    </r>
  </si>
  <si>
    <t>corresponding raw value</t>
  </si>
  <si>
    <t>chosen percentile</t>
  </si>
  <si>
    <t>Group difference at a chosen percentile</t>
  </si>
  <si>
    <t>Outcomes at a chosen percentile</t>
  </si>
  <si>
    <t>n</t>
  </si>
  <si>
    <t>total observations</t>
  </si>
  <si>
    <t>total pretest n</t>
  </si>
  <si>
    <t>Percentile Rank-transformed Data</t>
  </si>
  <si>
    <t xml:space="preserve"> percentile mean</t>
  </si>
  <si>
    <t xml:space="preserve"> percentile SD</t>
  </si>
  <si>
    <t>diff. in percentile mean</t>
  </si>
  <si>
    <t>Arcsineroot-transformed Data</t>
  </si>
  <si>
    <r>
      <t xml:space="preserve">Replace values of the cells in </t>
    </r>
    <r>
      <rPr>
        <b/>
        <sz val="10"/>
        <color indexed="12"/>
        <rFont val="Arial"/>
        <family val="2"/>
      </rPr>
      <t>blue.</t>
    </r>
    <r>
      <rPr>
        <sz val="10"/>
        <color indexed="12"/>
        <rFont val="Arial"/>
        <family val="0"/>
      </rPr>
      <t xml:space="preserve">  </t>
    </r>
    <r>
      <rPr>
        <sz val="10"/>
        <rFont val="Arial"/>
        <family val="2"/>
      </rPr>
      <t>Useful sta</t>
    </r>
    <r>
      <rPr>
        <sz val="10"/>
        <rFont val="Arial"/>
        <family val="0"/>
      </rPr>
      <t xml:space="preserve">tistics are in </t>
    </r>
    <r>
      <rPr>
        <b/>
        <sz val="10"/>
        <color indexed="10"/>
        <rFont val="Arial"/>
        <family val="2"/>
      </rPr>
      <t>red</t>
    </r>
    <r>
      <rPr>
        <sz val="10"/>
        <rFont val="Arial"/>
        <family val="2"/>
      </rPr>
      <t>. Don't touch these cells or cells with values in black.</t>
    </r>
  </si>
  <si>
    <t xml:space="preserve">    If you include the first row, you will ruin the background calculations.  You can delete or clear the first row, though. </t>
  </si>
  <si>
    <t>Insertion or deletion of rows or columns corrupts the size of some comment boxes, thanks to a bug in the software.</t>
  </si>
  <si>
    <t xml:space="preserve">    Copy the statistics at the bottom of each group and in the tables from adjacent cells on the left.</t>
  </si>
  <si>
    <t>Jude</t>
  </si>
  <si>
    <t xml:space="preserve"> pretest mean</t>
  </si>
  <si>
    <t xml:space="preserve"> pretest SD</t>
  </si>
  <si>
    <t>Mean and SD in pretest:</t>
  </si>
  <si>
    <t>diff. in mean as Cohen ES</t>
  </si>
  <si>
    <t>Difference in mean in pretest:</t>
  </si>
  <si>
    <t>Difference in changes in mean:</t>
  </si>
  <si>
    <t>See next sheet for graphs of changes vs pretest values.</t>
  </si>
  <si>
    <t>Comment on individual responses.</t>
  </si>
  <si>
    <t>Diff. in mean in pretest:</t>
  </si>
  <si>
    <t xml:space="preserve"> log mean</t>
  </si>
  <si>
    <t xml:space="preserve"> log SD</t>
  </si>
  <si>
    <t xml:space="preserve"> transformed mean</t>
  </si>
  <si>
    <t xml:space="preserve"> transformed SD</t>
  </si>
  <si>
    <t xml:space="preserve">    Alternative reference and more info:  Hopkins WG (2003).  A spreadsheet for analysis of straightforward controlled trials. Sportscience 7, sportsci.org/jour/03/wghtrials.htm.</t>
  </si>
  <si>
    <t>Effects</t>
  </si>
  <si>
    <t>Trials</t>
  </si>
  <si>
    <t>Log units</t>
  </si>
  <si>
    <t>Percent units</t>
  </si>
  <si>
    <t>SD as CV (%)</t>
  </si>
  <si>
    <r>
      <t xml:space="preserve"> "</t>
    </r>
    <r>
      <rPr>
        <sz val="11"/>
        <rFont val="Symbol"/>
        <family val="1"/>
      </rPr>
      <t>´¤¸</t>
    </r>
    <r>
      <rPr>
        <sz val="10"/>
        <rFont val="Arial"/>
        <family val="2"/>
      </rPr>
      <t>" approx.</t>
    </r>
  </si>
  <si>
    <t>Factor units</t>
  </si>
  <si>
    <t>SD as factor</t>
  </si>
  <si>
    <t>Cohen units</t>
  </si>
  <si>
    <t>SD as Cohen ES</t>
  </si>
  <si>
    <t>Error of measure-ment for control gp</t>
  </si>
  <si>
    <t>Raw units</t>
  </si>
  <si>
    <t>raw SD</t>
  </si>
  <si>
    <t>Percentile rank-transformed units</t>
  </si>
  <si>
    <t>Root-transformed units</t>
  </si>
  <si>
    <t>Arcsineroot-transformed units</t>
  </si>
  <si>
    <r>
      <t xml:space="preserve">If you have </t>
    </r>
    <r>
      <rPr>
        <b/>
        <sz val="10"/>
        <rFont val="Arial"/>
        <family val="2"/>
      </rPr>
      <t>three or more groups</t>
    </r>
    <r>
      <rPr>
        <sz val="10"/>
        <rFont val="Arial"/>
        <family val="0"/>
      </rPr>
      <t>, use a whole new sheet for each pairwise comparison.</t>
    </r>
  </si>
  <si>
    <r>
      <t xml:space="preserve">If you have </t>
    </r>
    <r>
      <rPr>
        <b/>
        <sz val="10"/>
        <rFont val="Arial"/>
        <family val="2"/>
      </rPr>
      <t>less observations</t>
    </r>
    <r>
      <rPr>
        <sz val="10"/>
        <rFont val="Arial"/>
        <family val="0"/>
      </rPr>
      <t xml:space="preserve"> than shown here,</t>
    </r>
    <r>
      <rPr>
        <sz val="10"/>
        <rFont val="Arial"/>
        <family val="2"/>
      </rPr>
      <t xml:space="preserve"> DELETE or CLEAR th</t>
    </r>
    <r>
      <rPr>
        <sz val="10"/>
        <rFont val="Arial"/>
        <family val="0"/>
      </rPr>
      <t>e unwanted rows.</t>
    </r>
  </si>
  <si>
    <r>
      <t xml:space="preserve">If you have </t>
    </r>
    <r>
      <rPr>
        <b/>
        <sz val="10"/>
        <rFont val="Arial"/>
        <family val="2"/>
      </rPr>
      <t>more observations</t>
    </r>
    <r>
      <rPr>
        <sz val="10"/>
        <rFont val="Arial"/>
        <family val="2"/>
      </rPr>
      <t>, COPY and INSERT rows anywhere below (but NOT including) the first row of the group.</t>
    </r>
  </si>
  <si>
    <t>mean  (%)</t>
  </si>
  <si>
    <t>mean as factor</t>
  </si>
  <si>
    <r>
      <t xml:space="preserve">diff. in </t>
    </r>
    <r>
      <rPr>
        <sz val="10"/>
        <rFont val="Arial"/>
        <family val="2"/>
      </rPr>
      <t xml:space="preserve"> mean</t>
    </r>
  </si>
  <si>
    <r>
      <t xml:space="preserve">diff. in </t>
    </r>
    <r>
      <rPr>
        <sz val="10"/>
        <rFont val="Arial"/>
        <family val="2"/>
      </rPr>
      <t xml:space="preserve">mean as </t>
    </r>
    <r>
      <rPr>
        <sz val="10"/>
        <rFont val="Symbol"/>
        <family val="1"/>
      </rPr>
      <t xml:space="preserve">´¤¸ </t>
    </r>
    <r>
      <rPr>
        <sz val="10"/>
        <rFont val="Arial"/>
        <family val="2"/>
      </rPr>
      <t>factor</t>
    </r>
  </si>
  <si>
    <r>
      <t>diff. in</t>
    </r>
    <r>
      <rPr>
        <sz val="10"/>
        <rFont val="Arial"/>
        <family val="2"/>
      </rPr>
      <t xml:space="preserve"> mean</t>
    </r>
  </si>
  <si>
    <r>
      <t xml:space="preserve">HOW TO ANALYZE A STRAIGHTFORWARD </t>
    </r>
    <r>
      <rPr>
        <b/>
        <sz val="11"/>
        <color indexed="14"/>
        <rFont val="Arial"/>
        <family val="2"/>
      </rPr>
      <t>CONTROLLED</t>
    </r>
    <r>
      <rPr>
        <b/>
        <sz val="11"/>
        <rFont val="Arial"/>
        <family val="2"/>
      </rPr>
      <t xml:space="preserve"> TRIAL</t>
    </r>
  </si>
  <si>
    <r>
      <t xml:space="preserve">If you have an </t>
    </r>
    <r>
      <rPr>
        <b/>
        <sz val="10"/>
        <rFont val="Arial"/>
        <family val="2"/>
      </rPr>
      <t>extra pre, mid or post trial</t>
    </r>
    <r>
      <rPr>
        <sz val="10"/>
        <rFont val="Arial"/>
        <family val="0"/>
      </rPr>
      <t>, insert a new column in the right place in the raw data (but NOT to the left of the Pre column).</t>
    </r>
  </si>
  <si>
    <t>Difference in group means in Cohen units</t>
  </si>
  <si>
    <t>Difference in group means as a percent</t>
  </si>
  <si>
    <t>Difference in group means as a factor</t>
  </si>
  <si>
    <t>Difference in group means in log units</t>
  </si>
  <si>
    <t>Diff. in group means at chosen percentile</t>
  </si>
  <si>
    <t>Difference in group means in rank units</t>
  </si>
  <si>
    <t>Diff. in group means in transformed units</t>
  </si>
  <si>
    <t>Diff. in group means at chosen raw value</t>
  </si>
  <si>
    <t xml:space="preserve"> "±" approx.</t>
  </si>
  <si>
    <t>At a chosen percentile</t>
  </si>
  <si>
    <t>approx. SD in raw units</t>
  </si>
  <si>
    <t>At a chosen raw value</t>
  </si>
  <si>
    <r>
      <t xml:space="preserve"> </t>
    </r>
    <r>
      <rPr>
        <sz val="10"/>
        <rFont val="Arial"/>
        <family val="0"/>
      </rPr>
      <t>mean  (%)</t>
    </r>
  </si>
  <si>
    <t>UPDATE Dec 2005: added individual responses for "posts-only" analyses.  Insert only post-test data and only in the Pre column for such analyses.</t>
  </si>
  <si>
    <t>indiv. responses as factor</t>
  </si>
  <si>
    <t>indiv. resp. as Cohenized SD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</si>
</sst>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quot;Yes&quot;;&quot;Yes&quot;;&quot;No&quot;"/>
    <numFmt numFmtId="168" formatCode="&quot;True&quot;;&quot;True&quot;;&quot;False&quot;"/>
    <numFmt numFmtId="169" formatCode="&quot;On&quot;;&quot;On&quot;;&quot;Off&quot;"/>
  </numFmts>
  <fonts count="42">
    <font>
      <sz val="10"/>
      <name val="Arial"/>
      <family val="0"/>
    </font>
    <font>
      <b/>
      <sz val="10"/>
      <name val="Arial"/>
      <family val="2"/>
    </font>
    <font>
      <b/>
      <sz val="12"/>
      <name val="Arial"/>
      <family val="2"/>
    </font>
    <font>
      <sz val="10"/>
      <name val="Symbol"/>
      <family val="1"/>
    </font>
    <font>
      <u val="single"/>
      <sz val="10"/>
      <color indexed="12"/>
      <name val="Arial"/>
      <family val="0"/>
    </font>
    <font>
      <u val="single"/>
      <sz val="10"/>
      <color indexed="36"/>
      <name val="Arial"/>
      <family val="0"/>
    </font>
    <font>
      <b/>
      <sz val="10"/>
      <color indexed="12"/>
      <name val="Arial"/>
      <family val="2"/>
    </font>
    <font>
      <sz val="8"/>
      <name val="Tahoma"/>
      <family val="0"/>
    </font>
    <font>
      <b/>
      <sz val="8"/>
      <name val="Tahoma"/>
      <family val="0"/>
    </font>
    <font>
      <sz val="9"/>
      <name val="Arial"/>
      <family val="2"/>
    </font>
    <font>
      <sz val="8"/>
      <name val="Arial"/>
      <family val="2"/>
    </font>
    <font>
      <b/>
      <sz val="9"/>
      <color indexed="14"/>
      <name val="Arial"/>
      <family val="2"/>
    </font>
    <font>
      <b/>
      <sz val="9"/>
      <color indexed="57"/>
      <name val="Arial"/>
      <family val="2"/>
    </font>
    <font>
      <b/>
      <sz val="9"/>
      <color indexed="55"/>
      <name val="Arial"/>
      <family val="2"/>
    </font>
    <font>
      <b/>
      <sz val="10"/>
      <color indexed="14"/>
      <name val="Arial"/>
      <family val="2"/>
    </font>
    <font>
      <b/>
      <sz val="10"/>
      <color indexed="57"/>
      <name val="Arial"/>
      <family val="2"/>
    </font>
    <font>
      <b/>
      <sz val="10"/>
      <color indexed="10"/>
      <name val="Arial"/>
      <family val="2"/>
    </font>
    <font>
      <sz val="7"/>
      <color indexed="10"/>
      <name val="Arial"/>
      <family val="2"/>
    </font>
    <font>
      <sz val="10"/>
      <color indexed="10"/>
      <name val="Arial"/>
      <family val="2"/>
    </font>
    <font>
      <sz val="10"/>
      <color indexed="12"/>
      <name val="Arial"/>
      <family val="2"/>
    </font>
    <font>
      <sz val="11"/>
      <name val="Arial"/>
      <family val="2"/>
    </font>
    <font>
      <sz val="11"/>
      <name val="Symbol"/>
      <family val="1"/>
    </font>
    <font>
      <b/>
      <sz val="11"/>
      <name val="Arial"/>
      <family val="2"/>
    </font>
    <font>
      <sz val="9"/>
      <color indexed="14"/>
      <name val="Arial"/>
      <family val="2"/>
    </font>
    <font>
      <sz val="9"/>
      <color indexed="57"/>
      <name val="Arial"/>
      <family val="2"/>
    </font>
    <font>
      <sz val="10"/>
      <color indexed="14"/>
      <name val="Arial"/>
      <family val="2"/>
    </font>
    <font>
      <sz val="10"/>
      <color indexed="57"/>
      <name val="Arial"/>
      <family val="2"/>
    </font>
    <font>
      <b/>
      <sz val="14"/>
      <color indexed="12"/>
      <name val="Arial"/>
      <family val="2"/>
    </font>
    <font>
      <b/>
      <sz val="10"/>
      <color indexed="20"/>
      <name val="Arial"/>
      <family val="2"/>
    </font>
    <font>
      <sz val="10"/>
      <color indexed="20"/>
      <name val="Arial"/>
      <family val="2"/>
    </font>
    <font>
      <sz val="7"/>
      <name val="Arial"/>
      <family val="2"/>
    </font>
    <font>
      <sz val="10"/>
      <color indexed="55"/>
      <name val="Arial"/>
      <family val="2"/>
    </font>
    <font>
      <b/>
      <sz val="10"/>
      <color indexed="55"/>
      <name val="Arial"/>
      <family val="2"/>
    </font>
    <font>
      <sz val="10"/>
      <color indexed="61"/>
      <name val="Arial"/>
      <family val="2"/>
    </font>
    <font>
      <sz val="9"/>
      <color indexed="61"/>
      <name val="Arial"/>
      <family val="2"/>
    </font>
    <font>
      <b/>
      <sz val="13.75"/>
      <name val="Arial"/>
      <family val="2"/>
    </font>
    <font>
      <sz val="8.25"/>
      <name val="Arial"/>
      <family val="0"/>
    </font>
    <font>
      <b/>
      <sz val="14.25"/>
      <name val="Arial"/>
      <family val="2"/>
    </font>
    <font>
      <sz val="10.75"/>
      <name val="Arial"/>
      <family val="2"/>
    </font>
    <font>
      <b/>
      <sz val="10.75"/>
      <name val="Arial"/>
      <family val="2"/>
    </font>
    <font>
      <b/>
      <sz val="11"/>
      <color indexed="14"/>
      <name val="Arial"/>
      <family val="2"/>
    </font>
    <font>
      <b/>
      <sz val="8"/>
      <name val="Arial"/>
      <family val="2"/>
    </font>
  </fonts>
  <fills count="10">
    <fill>
      <patternFill/>
    </fill>
    <fill>
      <patternFill patternType="gray125"/>
    </fill>
    <fill>
      <patternFill patternType="solid">
        <fgColor indexed="46"/>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s>
  <borders count="16">
    <border>
      <left/>
      <right/>
      <top/>
      <bottom/>
      <diagonal/>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98">
    <xf numFmtId="0" fontId="0" fillId="0" borderId="0" xfId="0" applyAlignment="1">
      <alignment/>
    </xf>
    <xf numFmtId="164" fontId="0" fillId="0" borderId="0" xfId="0" applyNumberFormat="1" applyAlignment="1">
      <alignment/>
    </xf>
    <xf numFmtId="0" fontId="1" fillId="0" borderId="0" xfId="0" applyFont="1" applyFill="1" applyAlignment="1">
      <alignment/>
    </xf>
    <xf numFmtId="0" fontId="0" fillId="0" borderId="0" xfId="0" applyAlignment="1">
      <alignment horizontal="right"/>
    </xf>
    <xf numFmtId="0" fontId="1" fillId="2" borderId="0" xfId="0" applyFont="1" applyFill="1" applyAlignment="1">
      <alignment horizontal="right" wrapText="1"/>
    </xf>
    <xf numFmtId="164" fontId="0" fillId="0" borderId="0" xfId="0" applyNumberFormat="1" applyAlignment="1">
      <alignment horizontal="right"/>
    </xf>
    <xf numFmtId="2" fontId="0" fillId="3" borderId="0" xfId="0" applyNumberFormat="1" applyFill="1" applyAlignment="1">
      <alignment horizontal="right"/>
    </xf>
    <xf numFmtId="0" fontId="0" fillId="3" borderId="0" xfId="0" applyFont="1" applyFill="1" applyAlignment="1">
      <alignment horizontal="right"/>
    </xf>
    <xf numFmtId="164" fontId="0" fillId="3" borderId="0" xfId="0" applyNumberFormat="1" applyFill="1" applyAlignment="1">
      <alignment horizontal="right"/>
    </xf>
    <xf numFmtId="0" fontId="3" fillId="0" borderId="0" xfId="0" applyFont="1" applyAlignment="1">
      <alignment/>
    </xf>
    <xf numFmtId="0" fontId="0" fillId="0" borderId="0" xfId="0" applyFont="1" applyFill="1" applyAlignment="1">
      <alignment horizontal="right"/>
    </xf>
    <xf numFmtId="164" fontId="0" fillId="0" borderId="0" xfId="0" applyNumberFormat="1" applyFill="1" applyAlignment="1">
      <alignment horizontal="right"/>
    </xf>
    <xf numFmtId="2" fontId="0" fillId="0" borderId="0" xfId="0" applyNumberFormat="1" applyFill="1" applyAlignment="1">
      <alignment horizontal="right"/>
    </xf>
    <xf numFmtId="0" fontId="0" fillId="0" borderId="0" xfId="0" applyFill="1" applyAlignment="1">
      <alignment/>
    </xf>
    <xf numFmtId="164" fontId="3" fillId="3" borderId="0" xfId="0" applyNumberFormat="1" applyFont="1" applyFill="1" applyAlignment="1">
      <alignment horizontal="right"/>
    </xf>
    <xf numFmtId="0" fontId="9" fillId="0" borderId="1" xfId="0" applyFont="1" applyBorder="1" applyAlignment="1">
      <alignment horizontal="right" wrapText="1"/>
    </xf>
    <xf numFmtId="0" fontId="0" fillId="0" borderId="2" xfId="0" applyFont="1" applyBorder="1" applyAlignment="1">
      <alignment horizontal="right"/>
    </xf>
    <xf numFmtId="0" fontId="12" fillId="0" borderId="2" xfId="0" applyFont="1" applyBorder="1" applyAlignment="1" quotePrefix="1">
      <alignment horizontal="right"/>
    </xf>
    <xf numFmtId="0" fontId="11" fillId="0" borderId="1" xfId="0" applyFont="1" applyBorder="1" applyAlignment="1" quotePrefix="1">
      <alignment horizontal="right"/>
    </xf>
    <xf numFmtId="164" fontId="18" fillId="0" borderId="3" xfId="0" applyNumberFormat="1" applyFont="1" applyBorder="1" applyAlignment="1">
      <alignment horizontal="center"/>
    </xf>
    <xf numFmtId="164" fontId="16" fillId="0" borderId="3" xfId="0" applyNumberFormat="1" applyFont="1" applyBorder="1" applyAlignment="1">
      <alignment horizontal="center"/>
    </xf>
    <xf numFmtId="1" fontId="0" fillId="0" borderId="3" xfId="0" applyNumberFormat="1" applyFont="1" applyBorder="1" applyAlignment="1">
      <alignment horizontal="center"/>
    </xf>
    <xf numFmtId="0" fontId="19" fillId="0" borderId="0" xfId="0" applyFont="1" applyAlignment="1">
      <alignment/>
    </xf>
    <xf numFmtId="1" fontId="0" fillId="0" borderId="4" xfId="0" applyNumberFormat="1" applyFont="1" applyBorder="1" applyAlignment="1">
      <alignment horizontal="center"/>
    </xf>
    <xf numFmtId="1" fontId="17" fillId="0" borderId="5" xfId="0" applyNumberFormat="1" applyFont="1" applyBorder="1" applyAlignment="1">
      <alignment horizontal="center" vertical="center" wrapText="1"/>
    </xf>
    <xf numFmtId="0" fontId="0" fillId="0" borderId="1" xfId="0" applyBorder="1" applyAlignment="1">
      <alignment/>
    </xf>
    <xf numFmtId="0" fontId="9" fillId="0" borderId="2" xfId="0" applyFont="1" applyBorder="1" applyAlignment="1">
      <alignment horizontal="right" wrapText="1"/>
    </xf>
    <xf numFmtId="0" fontId="0" fillId="0" borderId="0" xfId="0" applyBorder="1" applyAlignment="1">
      <alignment/>
    </xf>
    <xf numFmtId="0" fontId="0" fillId="0" borderId="3" xfId="0" applyFont="1" applyBorder="1" applyAlignment="1">
      <alignment horizontal="right"/>
    </xf>
    <xf numFmtId="0" fontId="9" fillId="0" borderId="3" xfId="0" applyFont="1" applyBorder="1" applyAlignment="1">
      <alignment horizontal="right"/>
    </xf>
    <xf numFmtId="0" fontId="0" fillId="0" borderId="3" xfId="0" applyBorder="1" applyAlignment="1">
      <alignment horizontal="right"/>
    </xf>
    <xf numFmtId="0" fontId="20" fillId="0" borderId="2" xfId="0" applyFont="1" applyBorder="1" applyAlignment="1">
      <alignment horizontal="right"/>
    </xf>
    <xf numFmtId="0" fontId="0" fillId="0" borderId="0" xfId="0" applyFont="1" applyBorder="1" applyAlignment="1">
      <alignment horizontal="center" wrapText="1"/>
    </xf>
    <xf numFmtId="1" fontId="0" fillId="0" borderId="0" xfId="0" applyNumberFormat="1" applyFont="1" applyBorder="1" applyAlignment="1">
      <alignment horizontal="center"/>
    </xf>
    <xf numFmtId="0" fontId="0" fillId="0" borderId="0" xfId="0" applyBorder="1" applyAlignment="1">
      <alignment horizontal="center"/>
    </xf>
    <xf numFmtId="0" fontId="6" fillId="0" borderId="0" xfId="0" applyFont="1" applyBorder="1" applyAlignment="1">
      <alignment horizontal="center"/>
    </xf>
    <xf numFmtId="0" fontId="0" fillId="0" borderId="3" xfId="0" applyFont="1" applyFill="1" applyBorder="1" applyAlignment="1">
      <alignment horizontal="right"/>
    </xf>
    <xf numFmtId="0" fontId="0" fillId="0" borderId="0" xfId="0" applyAlignment="1">
      <alignment horizontal="center"/>
    </xf>
    <xf numFmtId="0" fontId="0" fillId="0" borderId="6" xfId="0" applyFont="1" applyFill="1" applyBorder="1" applyAlignment="1">
      <alignment horizontal="right"/>
    </xf>
    <xf numFmtId="1" fontId="0" fillId="0" borderId="4" xfId="0" applyNumberFormat="1" applyBorder="1" applyAlignment="1">
      <alignment horizontal="center"/>
    </xf>
    <xf numFmtId="0" fontId="0" fillId="0" borderId="7" xfId="0" applyBorder="1" applyAlignment="1">
      <alignment/>
    </xf>
    <xf numFmtId="0" fontId="0" fillId="0" borderId="8" xfId="0" applyBorder="1" applyAlignment="1">
      <alignment/>
    </xf>
    <xf numFmtId="2" fontId="16" fillId="0" borderId="3" xfId="0" applyNumberFormat="1" applyFont="1" applyBorder="1" applyAlignment="1">
      <alignment horizontal="center"/>
    </xf>
    <xf numFmtId="0" fontId="9" fillId="0" borderId="6" xfId="0" applyFont="1" applyFill="1" applyBorder="1" applyAlignment="1">
      <alignment horizontal="right"/>
    </xf>
    <xf numFmtId="0" fontId="9" fillId="0" borderId="1" xfId="0" applyFont="1" applyBorder="1" applyAlignment="1">
      <alignment/>
    </xf>
    <xf numFmtId="0" fontId="10" fillId="0" borderId="6" xfId="0" applyFont="1" applyFill="1" applyBorder="1" applyAlignment="1">
      <alignment horizontal="right"/>
    </xf>
    <xf numFmtId="1" fontId="0" fillId="0" borderId="8" xfId="0" applyNumberFormat="1" applyBorder="1" applyAlignment="1">
      <alignment horizontal="center"/>
    </xf>
    <xf numFmtId="0" fontId="9" fillId="0" borderId="0" xfId="0" applyFont="1" applyFill="1" applyBorder="1" applyAlignment="1">
      <alignment horizontal="right"/>
    </xf>
    <xf numFmtId="165" fontId="18" fillId="0" borderId="3" xfId="0" applyNumberFormat="1" applyFont="1" applyBorder="1" applyAlignment="1">
      <alignment horizontal="center"/>
    </xf>
    <xf numFmtId="0" fontId="0" fillId="0" borderId="6" xfId="0" applyBorder="1" applyAlignment="1">
      <alignment/>
    </xf>
    <xf numFmtId="0" fontId="0" fillId="0" borderId="3" xfId="0" applyBorder="1" applyAlignment="1">
      <alignment/>
    </xf>
    <xf numFmtId="0" fontId="9" fillId="0" borderId="4" xfId="0" applyFont="1" applyBorder="1" applyAlignment="1">
      <alignment horizontal="right" wrapText="1"/>
    </xf>
    <xf numFmtId="166" fontId="16" fillId="0" borderId="4" xfId="0" applyNumberFormat="1" applyFont="1" applyBorder="1" applyAlignment="1">
      <alignment horizontal="center"/>
    </xf>
    <xf numFmtId="0" fontId="19" fillId="0" borderId="4" xfId="0" applyFont="1" applyBorder="1" applyAlignment="1">
      <alignment horizontal="center"/>
    </xf>
    <xf numFmtId="2" fontId="0" fillId="0" borderId="4" xfId="0" applyNumberFormat="1" applyFont="1" applyBorder="1" applyAlignment="1">
      <alignment horizontal="center"/>
    </xf>
    <xf numFmtId="0" fontId="0" fillId="0" borderId="4" xfId="0" applyFont="1" applyBorder="1" applyAlignment="1">
      <alignment horizontal="center"/>
    </xf>
    <xf numFmtId="2" fontId="0" fillId="0" borderId="5" xfId="0" applyNumberFormat="1" applyFont="1" applyBorder="1" applyAlignment="1">
      <alignment horizontal="center"/>
    </xf>
    <xf numFmtId="0" fontId="0" fillId="0" borderId="5" xfId="0" applyFont="1" applyBorder="1" applyAlignment="1">
      <alignment horizontal="center"/>
    </xf>
    <xf numFmtId="1" fontId="0" fillId="0" borderId="0" xfId="0" applyNumberFormat="1" applyAlignment="1">
      <alignment horizontal="right"/>
    </xf>
    <xf numFmtId="2" fontId="16" fillId="0" borderId="4" xfId="0" applyNumberFormat="1" applyFont="1" applyBorder="1" applyAlignment="1">
      <alignment horizontal="center"/>
    </xf>
    <xf numFmtId="0" fontId="0" fillId="0" borderId="6" xfId="0" applyFont="1" applyBorder="1" applyAlignment="1">
      <alignment horizontal="right"/>
    </xf>
    <xf numFmtId="0" fontId="9" fillId="0" borderId="6" xfId="0" applyFont="1" applyBorder="1" applyAlignment="1">
      <alignment horizontal="right"/>
    </xf>
    <xf numFmtId="165" fontId="0" fillId="0" borderId="4" xfId="0" applyNumberFormat="1" applyFont="1" applyBorder="1" applyAlignment="1">
      <alignment horizontal="center"/>
    </xf>
    <xf numFmtId="0" fontId="20" fillId="0" borderId="4" xfId="0" applyFont="1" applyBorder="1" applyAlignment="1">
      <alignment horizontal="right"/>
    </xf>
    <xf numFmtId="0" fontId="0" fillId="0" borderId="0" xfId="0" applyFill="1" applyAlignment="1">
      <alignment horizontal="center"/>
    </xf>
    <xf numFmtId="0" fontId="0" fillId="0" borderId="0" xfId="0" applyFont="1" applyBorder="1" applyAlignment="1">
      <alignment horizontal="center"/>
    </xf>
    <xf numFmtId="0" fontId="1" fillId="2" borderId="0" xfId="0" applyFont="1" applyFill="1" applyAlignment="1">
      <alignment horizontal="left" wrapText="1"/>
    </xf>
    <xf numFmtId="0" fontId="0" fillId="0" borderId="0" xfId="0" applyAlignment="1">
      <alignment/>
    </xf>
    <xf numFmtId="0" fontId="0" fillId="0" borderId="0" xfId="0" applyAlignment="1">
      <alignment horizontal="left"/>
    </xf>
    <xf numFmtId="0" fontId="1" fillId="0" borderId="0" xfId="0" applyFont="1" applyAlignment="1">
      <alignment horizontal="left"/>
    </xf>
    <xf numFmtId="0" fontId="1" fillId="0" borderId="0" xfId="0" applyFont="1" applyFill="1" applyAlignment="1">
      <alignment horizontal="left"/>
    </xf>
    <xf numFmtId="0" fontId="0" fillId="4" borderId="0" xfId="0" applyFill="1" applyAlignment="1">
      <alignment horizontal="left"/>
    </xf>
    <xf numFmtId="0" fontId="1" fillId="4" borderId="0" xfId="0" applyFont="1" applyFill="1" applyAlignment="1">
      <alignment horizontal="left"/>
    </xf>
    <xf numFmtId="0" fontId="0" fillId="5" borderId="0" xfId="0" applyFill="1" applyAlignment="1">
      <alignment/>
    </xf>
    <xf numFmtId="0" fontId="1" fillId="5" borderId="0" xfId="0" applyFont="1" applyFill="1" applyAlignment="1">
      <alignment horizontal="right"/>
    </xf>
    <xf numFmtId="0" fontId="9" fillId="0" borderId="3" xfId="0" applyFont="1" applyFill="1" applyBorder="1" applyAlignment="1">
      <alignment horizontal="right"/>
    </xf>
    <xf numFmtId="0" fontId="9" fillId="6" borderId="0" xfId="0" applyFont="1" applyFill="1" applyBorder="1" applyAlignment="1">
      <alignment horizontal="right"/>
    </xf>
    <xf numFmtId="0" fontId="9" fillId="6" borderId="7" xfId="0" applyFont="1" applyFill="1" applyBorder="1" applyAlignment="1">
      <alignment/>
    </xf>
    <xf numFmtId="164" fontId="9" fillId="6" borderId="4" xfId="0" applyNumberFormat="1" applyFont="1" applyFill="1" applyBorder="1" applyAlignment="1">
      <alignment horizontal="center"/>
    </xf>
    <xf numFmtId="0" fontId="20" fillId="0" borderId="9" xfId="0" applyFont="1" applyBorder="1" applyAlignment="1">
      <alignment/>
    </xf>
    <xf numFmtId="0" fontId="22" fillId="0" borderId="9"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2" fontId="18" fillId="0" borderId="4" xfId="0" applyNumberFormat="1" applyFont="1" applyBorder="1" applyAlignment="1">
      <alignment horizontal="center"/>
    </xf>
    <xf numFmtId="2" fontId="18" fillId="0" borderId="4" xfId="0" applyNumberFormat="1" applyFont="1" applyBorder="1" applyAlignment="1">
      <alignment horizontal="left"/>
    </xf>
    <xf numFmtId="2" fontId="18" fillId="0" borderId="4" xfId="0" applyNumberFormat="1" applyFont="1" applyBorder="1" applyAlignment="1">
      <alignment horizontal="right"/>
    </xf>
    <xf numFmtId="164" fontId="18" fillId="0" borderId="4" xfId="0" applyNumberFormat="1" applyFont="1" applyBorder="1" applyAlignment="1">
      <alignment horizontal="center"/>
    </xf>
    <xf numFmtId="164" fontId="18" fillId="0" borderId="4" xfId="0" applyNumberFormat="1" applyFont="1" applyBorder="1" applyAlignment="1">
      <alignment horizontal="left"/>
    </xf>
    <xf numFmtId="164" fontId="18" fillId="0" borderId="4" xfId="0" applyNumberFormat="1" applyFont="1" applyBorder="1" applyAlignment="1">
      <alignment/>
    </xf>
    <xf numFmtId="0" fontId="0" fillId="0" borderId="0" xfId="0" applyFont="1" applyAlignment="1">
      <alignment/>
    </xf>
    <xf numFmtId="166" fontId="18" fillId="0" borderId="4" xfId="0" applyNumberFormat="1" applyFont="1" applyBorder="1" applyAlignment="1">
      <alignment horizontal="left"/>
    </xf>
    <xf numFmtId="166" fontId="18" fillId="0" borderId="4" xfId="0" applyNumberFormat="1" applyFont="1" applyBorder="1" applyAlignment="1">
      <alignment horizontal="right"/>
    </xf>
    <xf numFmtId="164" fontId="18" fillId="0" borderId="4" xfId="0" applyNumberFormat="1" applyFont="1" applyBorder="1" applyAlignment="1">
      <alignment horizontal="right"/>
    </xf>
    <xf numFmtId="2" fontId="18" fillId="0" borderId="5" xfId="0" applyNumberFormat="1" applyFont="1" applyBorder="1" applyAlignment="1">
      <alignment horizontal="center"/>
    </xf>
    <xf numFmtId="166" fontId="18" fillId="0" borderId="5" xfId="0" applyNumberFormat="1" applyFont="1" applyBorder="1" applyAlignment="1">
      <alignment horizontal="center"/>
    </xf>
    <xf numFmtId="164" fontId="18" fillId="0" borderId="5" xfId="0" applyNumberFormat="1" applyFont="1" applyBorder="1" applyAlignment="1">
      <alignment horizontal="center"/>
    </xf>
    <xf numFmtId="0" fontId="23" fillId="0" borderId="1" xfId="0" applyFont="1" applyBorder="1" applyAlignment="1" quotePrefix="1">
      <alignment horizontal="right"/>
    </xf>
    <xf numFmtId="0" fontId="24" fillId="0" borderId="2" xfId="0" applyFont="1" applyBorder="1" applyAlignment="1" quotePrefix="1">
      <alignment horizontal="right"/>
    </xf>
    <xf numFmtId="1" fontId="18" fillId="0" borderId="10" xfId="0" applyNumberFormat="1" applyFont="1" applyBorder="1" applyAlignment="1">
      <alignment horizontal="center"/>
    </xf>
    <xf numFmtId="166" fontId="19" fillId="0" borderId="0" xfId="0" applyNumberFormat="1" applyFont="1" applyBorder="1" applyAlignment="1">
      <alignment horizontal="center"/>
    </xf>
    <xf numFmtId="0" fontId="0" fillId="0" borderId="2" xfId="0" applyFont="1" applyBorder="1" applyAlignment="1">
      <alignment horizontal="right" vertical="center"/>
    </xf>
    <xf numFmtId="0" fontId="23" fillId="0" borderId="4" xfId="0" applyFont="1" applyBorder="1" applyAlignment="1" quotePrefix="1">
      <alignment horizontal="right"/>
    </xf>
    <xf numFmtId="0" fontId="24" fillId="0" borderId="4" xfId="0" applyFont="1" applyBorder="1" applyAlignment="1" quotePrefix="1">
      <alignment horizontal="right"/>
    </xf>
    <xf numFmtId="164" fontId="18" fillId="0" borderId="3" xfId="0" applyNumberFormat="1" applyFont="1" applyBorder="1" applyAlignment="1">
      <alignment horizontal="left"/>
    </xf>
    <xf numFmtId="164" fontId="18" fillId="0" borderId="3" xfId="0" applyNumberFormat="1" applyFont="1" applyBorder="1" applyAlignment="1">
      <alignment horizontal="right"/>
    </xf>
    <xf numFmtId="165" fontId="18" fillId="0" borderId="4" xfId="0" applyNumberFormat="1" applyFont="1" applyBorder="1" applyAlignment="1">
      <alignment horizontal="center"/>
    </xf>
    <xf numFmtId="2" fontId="18" fillId="3" borderId="0" xfId="0" applyNumberFormat="1" applyFont="1" applyFill="1" applyAlignment="1">
      <alignment horizontal="right"/>
    </xf>
    <xf numFmtId="164" fontId="18" fillId="3" borderId="0" xfId="0" applyNumberFormat="1" applyFont="1" applyFill="1" applyAlignment="1">
      <alignment horizontal="right"/>
    </xf>
    <xf numFmtId="164" fontId="18" fillId="0" borderId="0" xfId="0" applyNumberFormat="1" applyFont="1" applyFill="1" applyAlignment="1">
      <alignment horizontal="right"/>
    </xf>
    <xf numFmtId="2" fontId="18" fillId="0" borderId="0" xfId="0" applyNumberFormat="1" applyFont="1" applyFill="1" applyAlignment="1">
      <alignment horizontal="right"/>
    </xf>
    <xf numFmtId="166" fontId="18" fillId="3" borderId="0" xfId="0" applyNumberFormat="1" applyFont="1" applyFill="1" applyAlignment="1">
      <alignment horizontal="right"/>
    </xf>
    <xf numFmtId="164" fontId="18" fillId="0" borderId="0" xfId="0" applyNumberFormat="1" applyFont="1" applyAlignment="1">
      <alignment horizontal="right"/>
    </xf>
    <xf numFmtId="166" fontId="18" fillId="0" borderId="0" xfId="0" applyNumberFormat="1" applyFont="1" applyAlignment="1">
      <alignment horizontal="right"/>
    </xf>
    <xf numFmtId="2" fontId="18" fillId="0" borderId="0" xfId="0" applyNumberFormat="1" applyFont="1" applyAlignment="1">
      <alignment horizontal="right"/>
    </xf>
    <xf numFmtId="165" fontId="18" fillId="0" borderId="0" xfId="0" applyNumberFormat="1" applyFont="1" applyFill="1" applyAlignment="1">
      <alignment horizontal="right"/>
    </xf>
    <xf numFmtId="0" fontId="6" fillId="0" borderId="0" xfId="0" applyFont="1" applyAlignment="1">
      <alignment horizontal="left"/>
    </xf>
    <xf numFmtId="0" fontId="6" fillId="0" borderId="0" xfId="0" applyFont="1" applyFill="1" applyAlignment="1">
      <alignment horizontal="left"/>
    </xf>
    <xf numFmtId="0" fontId="6" fillId="4" borderId="0" xfId="0" applyFont="1" applyFill="1" applyAlignment="1">
      <alignment horizontal="left"/>
    </xf>
    <xf numFmtId="0" fontId="1" fillId="0" borderId="0" xfId="0" applyFont="1" applyAlignment="1">
      <alignment/>
    </xf>
    <xf numFmtId="2" fontId="0" fillId="3" borderId="0" xfId="0" applyNumberFormat="1" applyFont="1" applyFill="1" applyAlignment="1">
      <alignment horizontal="right"/>
    </xf>
    <xf numFmtId="2" fontId="18" fillId="0" borderId="0" xfId="0" applyNumberFormat="1" applyFont="1" applyAlignment="1">
      <alignment/>
    </xf>
    <xf numFmtId="0" fontId="0" fillId="0" borderId="4" xfId="0" applyBorder="1" applyAlignment="1">
      <alignment horizontal="center" wrapText="1"/>
    </xf>
    <xf numFmtId="1" fontId="17" fillId="0" borderId="11" xfId="0" applyNumberFormat="1" applyFont="1" applyBorder="1" applyAlignment="1">
      <alignment horizontal="center" vertical="center" wrapText="1"/>
    </xf>
    <xf numFmtId="0" fontId="0" fillId="0" borderId="2" xfId="0" applyBorder="1" applyAlignment="1">
      <alignment/>
    </xf>
    <xf numFmtId="0" fontId="9" fillId="0" borderId="9" xfId="0" applyFont="1" applyFill="1" applyBorder="1" applyAlignment="1">
      <alignment horizontal="right"/>
    </xf>
    <xf numFmtId="164" fontId="18" fillId="0" borderId="12" xfId="0" applyNumberFormat="1" applyFont="1" applyBorder="1" applyAlignment="1">
      <alignment horizontal="center"/>
    </xf>
    <xf numFmtId="164" fontId="0" fillId="0" borderId="0" xfId="0" applyNumberFormat="1" applyFont="1" applyAlignment="1">
      <alignment/>
    </xf>
    <xf numFmtId="164" fontId="0" fillId="0" borderId="0" xfId="0" applyNumberFormat="1" applyFont="1" applyAlignment="1">
      <alignment horizontal="right"/>
    </xf>
    <xf numFmtId="1" fontId="27" fillId="5" borderId="0" xfId="0" applyNumberFormat="1" applyFont="1" applyFill="1" applyAlignment="1">
      <alignment horizontal="right"/>
    </xf>
    <xf numFmtId="0" fontId="28" fillId="0" borderId="0" xfId="0" applyNumberFormat="1" applyFont="1" applyBorder="1" applyAlignment="1">
      <alignment horizontal="center"/>
    </xf>
    <xf numFmtId="0" fontId="20" fillId="0" borderId="0" xfId="0" applyFont="1" applyBorder="1" applyAlignment="1">
      <alignment/>
    </xf>
    <xf numFmtId="0" fontId="28" fillId="0" borderId="0" xfId="0" applyFont="1" applyBorder="1" applyAlignment="1">
      <alignment horizontal="center"/>
    </xf>
    <xf numFmtId="0" fontId="9" fillId="0" borderId="0" xfId="0" applyFont="1" applyBorder="1" applyAlignment="1">
      <alignment horizontal="center"/>
    </xf>
    <xf numFmtId="2" fontId="29" fillId="0" borderId="0" xfId="0" applyNumberFormat="1" applyFont="1" applyBorder="1" applyAlignment="1">
      <alignment horizontal="center"/>
    </xf>
    <xf numFmtId="0" fontId="9" fillId="0" borderId="0" xfId="0" applyFont="1" applyBorder="1" applyAlignment="1">
      <alignment horizontal="center" wrapText="1"/>
    </xf>
    <xf numFmtId="0" fontId="9" fillId="0" borderId="0" xfId="0" applyFont="1" applyBorder="1" applyAlignment="1">
      <alignment/>
    </xf>
    <xf numFmtId="0" fontId="10" fillId="0" borderId="0" xfId="0" applyFont="1" applyFill="1" applyBorder="1" applyAlignment="1">
      <alignment horizontal="right"/>
    </xf>
    <xf numFmtId="2" fontId="18" fillId="0" borderId="0" xfId="0" applyNumberFormat="1" applyFont="1" applyBorder="1" applyAlignment="1">
      <alignment horizontal="center"/>
    </xf>
    <xf numFmtId="0" fontId="0" fillId="0" borderId="0" xfId="0" applyBorder="1" applyAlignment="1">
      <alignment horizontal="right" vertical="center" wrapText="1"/>
    </xf>
    <xf numFmtId="0" fontId="9" fillId="0" borderId="0" xfId="0" applyFont="1" applyBorder="1" applyAlignment="1">
      <alignment horizontal="right" wrapText="1"/>
    </xf>
    <xf numFmtId="2" fontId="18" fillId="0" borderId="0" xfId="0" applyNumberFormat="1" applyFont="1" applyBorder="1" applyAlignment="1">
      <alignment horizontal="left"/>
    </xf>
    <xf numFmtId="0" fontId="9" fillId="6" borderId="1" xfId="0" applyFont="1" applyFill="1" applyBorder="1" applyAlignment="1">
      <alignment/>
    </xf>
    <xf numFmtId="2" fontId="0" fillId="0" borderId="4" xfId="0" applyNumberFormat="1" applyBorder="1" applyAlignment="1">
      <alignment horizontal="center" wrapText="1"/>
    </xf>
    <xf numFmtId="0" fontId="0" fillId="0" borderId="0" xfId="0" applyFont="1" applyFill="1" applyBorder="1" applyAlignment="1">
      <alignment horizontal="right"/>
    </xf>
    <xf numFmtId="1" fontId="0" fillId="0" borderId="8" xfId="0" applyNumberFormat="1" applyFont="1" applyBorder="1" applyAlignment="1">
      <alignment horizontal="center"/>
    </xf>
    <xf numFmtId="1" fontId="0" fillId="0" borderId="12" xfId="0" applyNumberFormat="1" applyFont="1" applyBorder="1" applyAlignment="1">
      <alignment horizontal="center"/>
    </xf>
    <xf numFmtId="164" fontId="19" fillId="0" borderId="4" xfId="0" applyNumberFormat="1" applyFont="1" applyBorder="1" applyAlignment="1">
      <alignment horizontal="center"/>
    </xf>
    <xf numFmtId="1" fontId="34" fillId="0" borderId="0" xfId="0" applyNumberFormat="1" applyFont="1" applyBorder="1" applyAlignment="1">
      <alignment horizontal="center" wrapText="1"/>
    </xf>
    <xf numFmtId="1" fontId="33" fillId="0" borderId="0" xfId="0" applyNumberFormat="1" applyFont="1" applyBorder="1" applyAlignment="1">
      <alignment horizontal="center"/>
    </xf>
    <xf numFmtId="2" fontId="6" fillId="0" borderId="10" xfId="0" applyNumberFormat="1" applyFont="1" applyBorder="1" applyAlignment="1">
      <alignment horizontal="center"/>
    </xf>
    <xf numFmtId="0" fontId="9" fillId="0" borderId="5" xfId="0" applyFont="1" applyBorder="1" applyAlignment="1">
      <alignment horizontal="right"/>
    </xf>
    <xf numFmtId="0" fontId="1" fillId="0" borderId="0" xfId="0" applyFont="1" applyFill="1" applyAlignment="1">
      <alignment horizontal="right"/>
    </xf>
    <xf numFmtId="1" fontId="27" fillId="0" borderId="0" xfId="0" applyNumberFormat="1" applyFont="1" applyFill="1" applyAlignment="1">
      <alignment horizontal="right"/>
    </xf>
    <xf numFmtId="0" fontId="9" fillId="2" borderId="0" xfId="0" applyFont="1" applyFill="1" applyAlignment="1">
      <alignment horizontal="center" wrapText="1"/>
    </xf>
    <xf numFmtId="2" fontId="0" fillId="0" borderId="0" xfId="0" applyNumberFormat="1" applyFont="1" applyAlignment="1">
      <alignment horizontal="right"/>
    </xf>
    <xf numFmtId="2" fontId="0" fillId="0" borderId="0" xfId="0" applyNumberFormat="1" applyAlignment="1">
      <alignment horizontal="right"/>
    </xf>
    <xf numFmtId="166" fontId="0" fillId="0" borderId="0" xfId="0" applyNumberFormat="1" applyAlignment="1">
      <alignment horizontal="right"/>
    </xf>
    <xf numFmtId="166" fontId="0" fillId="3" borderId="0" xfId="0" applyNumberFormat="1" applyFill="1" applyAlignment="1">
      <alignment horizontal="right"/>
    </xf>
    <xf numFmtId="49" fontId="0" fillId="0" borderId="5" xfId="0" applyNumberFormat="1" applyFont="1" applyBorder="1" applyAlignment="1">
      <alignment horizontal="center"/>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2" fontId="6" fillId="0" borderId="4" xfId="0" applyNumberFormat="1" applyFont="1" applyBorder="1" applyAlignment="1">
      <alignment horizontal="center"/>
    </xf>
    <xf numFmtId="2" fontId="6" fillId="0" borderId="5" xfId="0" applyNumberFormat="1" applyFont="1" applyBorder="1" applyAlignment="1">
      <alignment horizontal="center"/>
    </xf>
    <xf numFmtId="0" fontId="6" fillId="0" borderId="4" xfId="0" applyFont="1" applyBorder="1" applyAlignment="1">
      <alignment horizontal="center"/>
    </xf>
    <xf numFmtId="164" fontId="0" fillId="0" borderId="4" xfId="0" applyNumberFormat="1" applyFont="1" applyBorder="1" applyAlignment="1">
      <alignment horizontal="center"/>
    </xf>
    <xf numFmtId="0" fontId="6" fillId="0" borderId="5" xfId="0" applyFont="1" applyBorder="1" applyAlignment="1">
      <alignment horizontal="center"/>
    </xf>
    <xf numFmtId="1" fontId="6" fillId="0" borderId="4" xfId="0" applyNumberFormat="1" applyFont="1" applyBorder="1" applyAlignment="1">
      <alignment horizontal="center"/>
    </xf>
    <xf numFmtId="2" fontId="0" fillId="0" borderId="4" xfId="0" applyNumberFormat="1" applyBorder="1" applyAlignment="1">
      <alignment horizontal="center"/>
    </xf>
    <xf numFmtId="164" fontId="0" fillId="0" borderId="4" xfId="0" applyNumberFormat="1" applyBorder="1" applyAlignment="1">
      <alignment horizontal="center"/>
    </xf>
    <xf numFmtId="0" fontId="18" fillId="0" borderId="4" xfId="0" applyFont="1" applyBorder="1" applyAlignment="1">
      <alignment horizontal="center"/>
    </xf>
    <xf numFmtId="1" fontId="0" fillId="3" borderId="0" xfId="0" applyNumberFormat="1" applyFill="1" applyAlignment="1">
      <alignment horizontal="right"/>
    </xf>
    <xf numFmtId="1" fontId="0" fillId="0" borderId="0" xfId="0" applyNumberFormat="1" applyFont="1" applyAlignment="1">
      <alignment/>
    </xf>
    <xf numFmtId="0" fontId="0" fillId="0" borderId="0" xfId="0" applyFill="1" applyAlignment="1">
      <alignment horizontal="right"/>
    </xf>
    <xf numFmtId="1" fontId="0" fillId="0" borderId="0" xfId="0" applyNumberFormat="1" applyFill="1" applyAlignment="1">
      <alignment/>
    </xf>
    <xf numFmtId="2" fontId="0" fillId="0" borderId="0" xfId="0" applyNumberFormat="1" applyAlignment="1">
      <alignment/>
    </xf>
    <xf numFmtId="166" fontId="0" fillId="0" borderId="0" xfId="0" applyNumberFormat="1" applyFont="1" applyAlignment="1">
      <alignment horizontal="right"/>
    </xf>
    <xf numFmtId="166" fontId="18" fillId="0" borderId="4" xfId="0" applyNumberFormat="1" applyFont="1" applyBorder="1" applyAlignment="1">
      <alignment horizontal="center"/>
    </xf>
    <xf numFmtId="164" fontId="6" fillId="0" borderId="4" xfId="0" applyNumberFormat="1" applyFont="1" applyBorder="1" applyAlignment="1">
      <alignment horizontal="center"/>
    </xf>
    <xf numFmtId="2" fontId="1" fillId="0" borderId="0" xfId="0" applyNumberFormat="1" applyFont="1" applyFill="1" applyAlignment="1">
      <alignment horizontal="right"/>
    </xf>
    <xf numFmtId="164" fontId="18" fillId="0" borderId="0" xfId="0" applyNumberFormat="1" applyFont="1" applyFill="1" applyAlignment="1">
      <alignment/>
    </xf>
    <xf numFmtId="166" fontId="18" fillId="0" borderId="0" xfId="0" applyNumberFormat="1" applyFont="1" applyFill="1" applyAlignment="1">
      <alignment/>
    </xf>
    <xf numFmtId="2" fontId="18" fillId="0" borderId="0" xfId="0" applyNumberFormat="1" applyFont="1" applyFill="1" applyAlignment="1">
      <alignment/>
    </xf>
    <xf numFmtId="0" fontId="0" fillId="0" borderId="2" xfId="0" applyBorder="1" applyAlignment="1">
      <alignment horizontal="right" vertical="center"/>
    </xf>
    <xf numFmtId="0" fontId="20" fillId="0" borderId="0" xfId="0" applyFont="1" applyAlignment="1">
      <alignment/>
    </xf>
    <xf numFmtId="164" fontId="0" fillId="0" borderId="13" xfId="0" applyNumberFormat="1" applyFont="1" applyBorder="1" applyAlignment="1">
      <alignment horizontal="center"/>
    </xf>
    <xf numFmtId="164" fontId="0" fillId="0" borderId="4" xfId="0" applyNumberFormat="1" applyFont="1" applyBorder="1" applyAlignment="1">
      <alignment horizontal="left"/>
    </xf>
    <xf numFmtId="164" fontId="0" fillId="0" borderId="4" xfId="0" applyNumberFormat="1" applyFont="1" applyBorder="1" applyAlignment="1">
      <alignment horizontal="right"/>
    </xf>
    <xf numFmtId="164" fontId="18" fillId="0" borderId="13" xfId="0" applyNumberFormat="1" applyFont="1" applyBorder="1" applyAlignment="1">
      <alignment horizontal="center"/>
    </xf>
    <xf numFmtId="2" fontId="18" fillId="0" borderId="13" xfId="0" applyNumberFormat="1" applyFont="1" applyBorder="1" applyAlignment="1">
      <alignment horizontal="center"/>
    </xf>
    <xf numFmtId="2" fontId="0" fillId="0" borderId="13" xfId="0" applyNumberFormat="1" applyFont="1" applyBorder="1" applyAlignment="1">
      <alignment horizontal="center"/>
    </xf>
    <xf numFmtId="2" fontId="0" fillId="0" borderId="4" xfId="0" applyNumberFormat="1" applyFont="1" applyBorder="1" applyAlignment="1">
      <alignment horizontal="left"/>
    </xf>
    <xf numFmtId="2" fontId="0" fillId="0" borderId="4" xfId="0" applyNumberFormat="1" applyFont="1" applyBorder="1" applyAlignment="1">
      <alignment horizontal="right"/>
    </xf>
    <xf numFmtId="166" fontId="0" fillId="0" borderId="13" xfId="0" applyNumberFormat="1" applyFont="1" applyBorder="1" applyAlignment="1">
      <alignment horizontal="center"/>
    </xf>
    <xf numFmtId="166" fontId="0" fillId="0" borderId="4" xfId="0" applyNumberFormat="1" applyFont="1" applyBorder="1" applyAlignment="1">
      <alignment horizontal="left"/>
    </xf>
    <xf numFmtId="166" fontId="0" fillId="0" borderId="4" xfId="0" applyNumberFormat="1" applyFont="1" applyBorder="1" applyAlignment="1">
      <alignment horizontal="right"/>
    </xf>
    <xf numFmtId="0" fontId="1" fillId="7" borderId="1" xfId="0" applyFont="1" applyFill="1" applyBorder="1" applyAlignment="1">
      <alignment horizontal="left" vertical="center" wrapText="1"/>
    </xf>
    <xf numFmtId="0" fontId="1" fillId="7" borderId="14" xfId="0" applyFont="1" applyFill="1" applyBorder="1" applyAlignment="1">
      <alignment vertical="center" wrapText="1"/>
    </xf>
    <xf numFmtId="0" fontId="0" fillId="7" borderId="15" xfId="0" applyFill="1" applyBorder="1" applyAlignment="1">
      <alignment/>
    </xf>
    <xf numFmtId="0" fontId="1" fillId="7" borderId="6" xfId="0" applyFont="1" applyFill="1" applyBorder="1" applyAlignment="1">
      <alignment horizontal="left" vertical="center" wrapText="1"/>
    </xf>
    <xf numFmtId="165" fontId="0" fillId="0" borderId="3" xfId="0" applyNumberFormat="1" applyFont="1" applyBorder="1" applyAlignment="1">
      <alignment horizontal="center"/>
    </xf>
    <xf numFmtId="164" fontId="1" fillId="0" borderId="3" xfId="0" applyNumberFormat="1" applyFont="1" applyBorder="1" applyAlignment="1">
      <alignment horizontal="center"/>
    </xf>
    <xf numFmtId="164" fontId="0" fillId="0" borderId="5" xfId="0" applyNumberFormat="1" applyFont="1" applyBorder="1" applyAlignment="1">
      <alignment horizontal="center"/>
    </xf>
    <xf numFmtId="1" fontId="0" fillId="0" borderId="10" xfId="0" applyNumberFormat="1" applyFont="1" applyBorder="1" applyAlignment="1">
      <alignment horizontal="center"/>
    </xf>
    <xf numFmtId="1" fontId="30" fillId="0" borderId="5" xfId="0" applyNumberFormat="1" applyFont="1" applyBorder="1" applyAlignment="1">
      <alignment horizontal="center" vertical="center" wrapText="1"/>
    </xf>
    <xf numFmtId="0" fontId="0" fillId="0" borderId="6" xfId="0" applyFont="1" applyBorder="1" applyAlignment="1">
      <alignment/>
    </xf>
    <xf numFmtId="0" fontId="0" fillId="0" borderId="3" xfId="0" applyFont="1" applyBorder="1" applyAlignment="1">
      <alignment/>
    </xf>
    <xf numFmtId="164" fontId="0" fillId="0" borderId="3" xfId="0" applyNumberFormat="1" applyFont="1" applyBorder="1" applyAlignment="1">
      <alignment horizontal="center"/>
    </xf>
    <xf numFmtId="164" fontId="0" fillId="0" borderId="4" xfId="0" applyNumberFormat="1" applyFont="1" applyBorder="1" applyAlignment="1">
      <alignment/>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2" fontId="1" fillId="0" borderId="3" xfId="0" applyNumberFormat="1" applyFont="1" applyBorder="1" applyAlignment="1">
      <alignment horizontal="center"/>
    </xf>
    <xf numFmtId="2" fontId="0" fillId="0" borderId="3" xfId="0" applyNumberFormat="1" applyFont="1" applyBorder="1" applyAlignment="1">
      <alignment horizontal="center"/>
    </xf>
    <xf numFmtId="2" fontId="0" fillId="0" borderId="4" xfId="0" applyNumberFormat="1" applyFont="1" applyBorder="1" applyAlignment="1">
      <alignment/>
    </xf>
    <xf numFmtId="166" fontId="1" fillId="0" borderId="3" xfId="0" applyNumberFormat="1" applyFont="1" applyBorder="1" applyAlignment="1">
      <alignment horizontal="center"/>
    </xf>
    <xf numFmtId="166" fontId="0" fillId="0" borderId="5" xfId="0" applyNumberFormat="1" applyFont="1" applyBorder="1" applyAlignment="1">
      <alignment horizontal="center"/>
    </xf>
    <xf numFmtId="166" fontId="0" fillId="0" borderId="4" xfId="0" applyNumberFormat="1" applyFont="1" applyBorder="1" applyAlignment="1">
      <alignment horizontal="center"/>
    </xf>
    <xf numFmtId="166" fontId="0" fillId="0" borderId="3" xfId="0" applyNumberFormat="1" applyFont="1" applyBorder="1" applyAlignment="1">
      <alignment horizontal="center"/>
    </xf>
    <xf numFmtId="166" fontId="0" fillId="0" borderId="4" xfId="0" applyNumberFormat="1" applyFont="1" applyBorder="1" applyAlignment="1">
      <alignment/>
    </xf>
    <xf numFmtId="0" fontId="1" fillId="0" borderId="1" xfId="0" applyFont="1" applyBorder="1" applyAlignment="1">
      <alignment horizontal="left"/>
    </xf>
    <xf numFmtId="0" fontId="1" fillId="0" borderId="6" xfId="0" applyFont="1" applyBorder="1" applyAlignment="1">
      <alignment horizontal="left"/>
    </xf>
    <xf numFmtId="0" fontId="1" fillId="0" borderId="3" xfId="0" applyFont="1" applyBorder="1" applyAlignment="1">
      <alignment horizontal="left"/>
    </xf>
    <xf numFmtId="0" fontId="0" fillId="0" borderId="4" xfId="0" applyFont="1" applyBorder="1" applyAlignment="1">
      <alignment horizontal="right"/>
    </xf>
    <xf numFmtId="0" fontId="0" fillId="0" borderId="5" xfId="0" applyFont="1" applyBorder="1" applyAlignment="1">
      <alignment horizontal="right" vertical="center"/>
    </xf>
    <xf numFmtId="0" fontId="0" fillId="0" borderId="10" xfId="0" applyFont="1" applyBorder="1" applyAlignment="1">
      <alignment horizontal="right" vertical="center" wrapText="1"/>
    </xf>
    <xf numFmtId="0" fontId="0" fillId="0" borderId="11" xfId="0" applyFont="1" applyBorder="1" applyAlignment="1">
      <alignment horizontal="right" vertical="center" wrapText="1"/>
    </xf>
    <xf numFmtId="0" fontId="0" fillId="0" borderId="10" xfId="0" applyBorder="1" applyAlignment="1">
      <alignment horizontal="right" vertical="center" wrapText="1"/>
    </xf>
    <xf numFmtId="0" fontId="0" fillId="0" borderId="5" xfId="0" applyBorder="1" applyAlignment="1">
      <alignment horizontal="right" vertical="center" wrapText="1"/>
    </xf>
    <xf numFmtId="0" fontId="0" fillId="0" borderId="7" xfId="0" applyFont="1" applyBorder="1" applyAlignment="1">
      <alignment horizontal="right" vertical="center" wrapText="1"/>
    </xf>
    <xf numFmtId="0" fontId="0" fillId="0" borderId="7" xfId="0" applyFont="1" applyBorder="1" applyAlignment="1">
      <alignment horizontal="right" vertical="center"/>
    </xf>
    <xf numFmtId="0" fontId="0" fillId="0" borderId="2" xfId="0" applyFont="1" applyBorder="1" applyAlignment="1">
      <alignment horizontal="right" vertical="center"/>
    </xf>
    <xf numFmtId="0" fontId="10" fillId="0" borderId="14" xfId="0" applyFont="1" applyBorder="1" applyAlignment="1">
      <alignment horizontal="right" vertical="center" wrapText="1"/>
    </xf>
    <xf numFmtId="0" fontId="10" fillId="0" borderId="2" xfId="0" applyFont="1" applyBorder="1" applyAlignment="1">
      <alignment horizontal="right" vertical="center" wrapText="1"/>
    </xf>
    <xf numFmtId="0" fontId="9" fillId="0" borderId="14" xfId="0" applyFont="1" applyBorder="1" applyAlignment="1">
      <alignment horizontal="right" vertical="center" wrapText="1"/>
    </xf>
    <xf numFmtId="0" fontId="9" fillId="0" borderId="7" xfId="0" applyFont="1" applyBorder="1" applyAlignment="1">
      <alignment horizontal="right" vertical="center" wrapText="1"/>
    </xf>
    <xf numFmtId="0" fontId="9" fillId="0" borderId="2" xfId="0" applyFont="1" applyBorder="1" applyAlignment="1">
      <alignment horizontal="right" vertical="center" wrapText="1"/>
    </xf>
    <xf numFmtId="0" fontId="14" fillId="0" borderId="14" xfId="0" applyFont="1" applyBorder="1" applyAlignment="1" quotePrefix="1">
      <alignment horizontal="right" vertical="center" wrapText="1"/>
    </xf>
    <xf numFmtId="0" fontId="11" fillId="0" borderId="2" xfId="0" applyFont="1" applyBorder="1" applyAlignment="1">
      <alignment horizontal="right" vertical="center" wrapText="1"/>
    </xf>
    <xf numFmtId="0" fontId="32" fillId="0" borderId="14" xfId="0" applyFont="1" applyBorder="1" applyAlignment="1">
      <alignment horizontal="right" vertical="center" wrapText="1"/>
    </xf>
    <xf numFmtId="0" fontId="32" fillId="0" borderId="2" xfId="0" applyFont="1" applyBorder="1" applyAlignment="1">
      <alignment horizontal="right" vertical="center" wrapText="1"/>
    </xf>
    <xf numFmtId="0" fontId="15" fillId="0" borderId="14" xfId="0" applyFont="1" applyBorder="1" applyAlignment="1" quotePrefix="1">
      <alignment horizontal="right" vertical="center" wrapText="1"/>
    </xf>
    <xf numFmtId="0" fontId="15" fillId="0" borderId="7" xfId="0" applyFont="1" applyBorder="1" applyAlignment="1">
      <alignment horizontal="right" vertical="center" wrapText="1"/>
    </xf>
    <xf numFmtId="0" fontId="15" fillId="0" borderId="2" xfId="0" applyFont="1" applyBorder="1" applyAlignment="1">
      <alignment horizontal="right" vertical="center" wrapText="1"/>
    </xf>
    <xf numFmtId="0" fontId="0" fillId="0" borderId="7" xfId="0" applyBorder="1" applyAlignment="1">
      <alignment horizontal="right" vertical="center" wrapText="1"/>
    </xf>
    <xf numFmtId="0" fontId="0" fillId="0" borderId="7" xfId="0" applyBorder="1" applyAlignment="1">
      <alignment horizontal="right" vertical="center"/>
    </xf>
    <xf numFmtId="0" fontId="0" fillId="0" borderId="2" xfId="0" applyBorder="1" applyAlignment="1">
      <alignment horizontal="right" vertical="center"/>
    </xf>
    <xf numFmtId="0" fontId="14" fillId="0" borderId="10" xfId="0" applyFont="1" applyBorder="1" applyAlignment="1" quotePrefix="1">
      <alignment horizontal="right" vertical="center" wrapText="1"/>
    </xf>
    <xf numFmtId="0" fontId="14" fillId="0" borderId="5" xfId="0" applyFont="1" applyBorder="1" applyAlignment="1" quotePrefix="1">
      <alignment horizontal="right" vertical="center" wrapText="1"/>
    </xf>
    <xf numFmtId="0" fontId="32" fillId="0" borderId="10" xfId="0" applyFont="1" applyBorder="1" applyAlignment="1">
      <alignment horizontal="right" vertical="center" wrapText="1"/>
    </xf>
    <xf numFmtId="0" fontId="32" fillId="0" borderId="5" xfId="0" applyFont="1" applyBorder="1" applyAlignment="1">
      <alignment horizontal="right" vertical="center" wrapText="1"/>
    </xf>
    <xf numFmtId="0" fontId="15" fillId="0" borderId="10" xfId="0" applyFont="1" applyBorder="1" applyAlignment="1" quotePrefix="1">
      <alignment horizontal="right" vertical="center" wrapText="1"/>
    </xf>
    <xf numFmtId="0" fontId="15" fillId="0" borderId="5" xfId="0" applyFont="1" applyBorder="1" applyAlignment="1" quotePrefix="1">
      <alignment horizontal="right" vertical="center" wrapText="1"/>
    </xf>
    <xf numFmtId="0" fontId="0" fillId="0" borderId="7" xfId="0" applyFont="1" applyBorder="1" applyAlignment="1">
      <alignment horizontal="right" vertical="center" wrapText="1"/>
    </xf>
    <xf numFmtId="0" fontId="1" fillId="8" borderId="1" xfId="0" applyFont="1" applyFill="1" applyBorder="1" applyAlignment="1">
      <alignment horizontal="left" vertical="center" wrapText="1"/>
    </xf>
    <xf numFmtId="0" fontId="1" fillId="8" borderId="3" xfId="0" applyFont="1" applyFill="1" applyBorder="1" applyAlignment="1">
      <alignment horizontal="left" vertical="center" wrapText="1"/>
    </xf>
    <xf numFmtId="0" fontId="0" fillId="0" borderId="10" xfId="0" applyFont="1" applyBorder="1" applyAlignment="1">
      <alignment horizontal="right" vertical="center" wrapText="1"/>
    </xf>
    <xf numFmtId="0" fontId="0" fillId="0" borderId="11" xfId="0" applyFont="1" applyBorder="1" applyAlignment="1">
      <alignment horizontal="right" vertical="center" wrapText="1"/>
    </xf>
    <xf numFmtId="0" fontId="0" fillId="0" borderId="5" xfId="0" applyFont="1" applyBorder="1" applyAlignment="1">
      <alignment horizontal="right" vertical="center" wrapText="1"/>
    </xf>
    <xf numFmtId="0" fontId="10" fillId="0" borderId="10" xfId="0" applyFont="1" applyBorder="1" applyAlignment="1">
      <alignment horizontal="right" vertical="center" wrapText="1"/>
    </xf>
    <xf numFmtId="0" fontId="10" fillId="0" borderId="5" xfId="0" applyFont="1" applyBorder="1" applyAlignment="1">
      <alignment horizontal="right" vertical="center" wrapText="1"/>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0" fontId="9" fillId="0" borderId="5" xfId="0" applyFont="1" applyBorder="1" applyAlignment="1">
      <alignment horizontal="right" vertical="center" wrapText="1"/>
    </xf>
    <xf numFmtId="0" fontId="30" fillId="0" borderId="14" xfId="0" applyFont="1" applyBorder="1" applyAlignment="1">
      <alignment horizontal="right" vertical="center" wrapText="1"/>
    </xf>
    <xf numFmtId="0" fontId="30" fillId="0" borderId="2" xfId="0" applyFont="1" applyBorder="1" applyAlignment="1">
      <alignment horizontal="right"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13" fillId="0" borderId="14" xfId="0" applyFont="1" applyBorder="1" applyAlignment="1">
      <alignment horizontal="right" vertical="center" wrapText="1"/>
    </xf>
    <xf numFmtId="0" fontId="13" fillId="0" borderId="2" xfId="0" applyFont="1" applyBorder="1" applyAlignment="1">
      <alignment horizontal="right" vertical="center" wrapText="1"/>
    </xf>
    <xf numFmtId="0" fontId="1" fillId="7" borderId="1" xfId="0" applyFont="1" applyFill="1" applyBorder="1" applyAlignment="1">
      <alignment horizontal="left" vertical="center" wrapText="1"/>
    </xf>
    <xf numFmtId="0" fontId="1" fillId="7" borderId="3"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lignment horizontal="right" vertical="center" wrapText="1"/>
    </xf>
    <xf numFmtId="0" fontId="0" fillId="0" borderId="7" xfId="0" applyFont="1" applyBorder="1" applyAlignment="1">
      <alignment horizontal="right" vertical="center"/>
    </xf>
    <xf numFmtId="0" fontId="0" fillId="0" borderId="2" xfId="0" applyFont="1" applyBorder="1" applyAlignment="1">
      <alignment horizontal="right" vertical="center"/>
    </xf>
    <xf numFmtId="0" fontId="9" fillId="0" borderId="7" xfId="0" applyFont="1" applyBorder="1" applyAlignment="1">
      <alignment horizontal="right" vertical="center"/>
    </xf>
    <xf numFmtId="0" fontId="9" fillId="0" borderId="2" xfId="0" applyFont="1" applyBorder="1" applyAlignment="1">
      <alignment horizontal="right" vertical="center"/>
    </xf>
    <xf numFmtId="0" fontId="1" fillId="9" borderId="1" xfId="0" applyFont="1" applyFill="1" applyBorder="1" applyAlignment="1">
      <alignment horizontal="left" vertical="center" wrapText="1"/>
    </xf>
    <xf numFmtId="0" fontId="1" fillId="9" borderId="3" xfId="0" applyFont="1" applyFill="1" applyBorder="1" applyAlignment="1">
      <alignment horizontal="left" vertical="center" wrapText="1"/>
    </xf>
    <xf numFmtId="0" fontId="25" fillId="0" borderId="14" xfId="0" applyFont="1" applyBorder="1" applyAlignment="1" quotePrefix="1">
      <alignment horizontal="right" vertical="center" wrapText="1"/>
    </xf>
    <xf numFmtId="0" fontId="23" fillId="0" borderId="2" xfId="0" applyFont="1" applyBorder="1" applyAlignment="1">
      <alignment horizontal="right" vertical="center" wrapText="1"/>
    </xf>
    <xf numFmtId="0" fontId="31" fillId="0" borderId="14" xfId="0" applyFont="1" applyBorder="1" applyAlignment="1">
      <alignment horizontal="right" vertical="center" wrapText="1"/>
    </xf>
    <xf numFmtId="0" fontId="31" fillId="0" borderId="2" xfId="0" applyFont="1" applyBorder="1" applyAlignment="1">
      <alignment horizontal="right" vertical="center" wrapText="1"/>
    </xf>
    <xf numFmtId="0" fontId="26" fillId="0" borderId="14" xfId="0" applyFont="1" applyBorder="1" applyAlignment="1" quotePrefix="1">
      <alignment horizontal="right" vertical="center" wrapText="1"/>
    </xf>
    <xf numFmtId="0" fontId="26" fillId="0" borderId="2" xfId="0" applyFont="1" applyBorder="1" applyAlignment="1">
      <alignment horizontal="right" vertical="center" wrapText="1"/>
    </xf>
    <xf numFmtId="0" fontId="14" fillId="0" borderId="14" xfId="0" applyFont="1" applyBorder="1" applyAlignment="1">
      <alignment horizontal="right" vertical="center" wrapText="1"/>
    </xf>
    <xf numFmtId="0" fontId="15" fillId="0" borderId="14" xfId="0" applyFont="1" applyBorder="1" applyAlignment="1">
      <alignment horizontal="right" vertical="center" wrapText="1"/>
    </xf>
    <xf numFmtId="0" fontId="0" fillId="0" borderId="0" xfId="0" applyFont="1" applyAlignment="1">
      <alignment horizontal="left"/>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2" fillId="2" borderId="0" xfId="0" applyFont="1" applyFill="1" applyAlignment="1">
      <alignment horizontal="center" wrapText="1"/>
    </xf>
    <xf numFmtId="0" fontId="1" fillId="5" borderId="1" xfId="0" applyFont="1" applyFill="1" applyBorder="1" applyAlignment="1">
      <alignment horizontal="left" vertical="center" wrapText="1"/>
    </xf>
    <xf numFmtId="0" fontId="1" fillId="5" borderId="3" xfId="0" applyFont="1" applyFill="1" applyBorder="1" applyAlignment="1">
      <alignment horizontal="left" vertical="center" wrapText="1"/>
    </xf>
    <xf numFmtId="0" fontId="0" fillId="0" borderId="11" xfId="0" applyBorder="1" applyAlignment="1">
      <alignment horizontal="right" vertical="center"/>
    </xf>
    <xf numFmtId="2" fontId="9" fillId="6" borderId="4" xfId="0" applyNumberFormat="1" applyFont="1" applyFill="1" applyBorder="1" applyAlignment="1">
      <alignment horizontal="center"/>
    </xf>
    <xf numFmtId="0" fontId="6" fillId="2" borderId="0" xfId="0" applyFont="1" applyFill="1" applyAlignment="1">
      <alignment horizontal="right" wrapText="1"/>
    </xf>
    <xf numFmtId="0" fontId="0"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Data!$I$24:$I$43</c:f>
              <c:numCache>
                <c:ptCount val="20"/>
                <c:pt idx="0">
                  <c:v>-1</c:v>
                </c:pt>
                <c:pt idx="1">
                  <c:v>-1</c:v>
                </c:pt>
                <c:pt idx="2">
                  <c:v>0.8999999999999986</c:v>
                </c:pt>
                <c:pt idx="3">
                  <c:v>-0.40000000000000036</c:v>
                </c:pt>
                <c:pt idx="4">
                  <c:v>0.20000000000000107</c:v>
                </c:pt>
                <c:pt idx="5">
                  <c:v>-0.8000000000000007</c:v>
                </c:pt>
                <c:pt idx="6">
                  <c:v>0.3999999999999986</c:v>
                </c:pt>
                <c:pt idx="7">
                  <c:v>0.7999999999999989</c:v>
                </c:pt>
                <c:pt idx="8">
                  <c:v>0.29999999999999893</c:v>
                </c:pt>
                <c:pt idx="9">
                  <c:v>0.5999999999999996</c:v>
                </c:pt>
                <c:pt idx="10">
                  <c:v>0.5999999999999996</c:v>
                </c:pt>
                <c:pt idx="11">
                  <c:v>0.3000000000000007</c:v>
                </c:pt>
                <c:pt idx="12">
                  <c:v>-0.1999999999999993</c:v>
                </c:pt>
                <c:pt idx="13">
                  <c:v>-0.5999999999999996</c:v>
                </c:pt>
                <c:pt idx="14">
                  <c:v>-0.6999999999999993</c:v>
                </c:pt>
                <c:pt idx="15">
                  <c:v>-0.29999999999999893</c:v>
                </c:pt>
                <c:pt idx="16">
                  <c:v>-0.6000000000000014</c:v>
                </c:pt>
                <c:pt idx="17">
                  <c:v>0.9000000000000004</c:v>
                </c:pt>
                <c:pt idx="18">
                  <c:v>0.5</c:v>
                </c:pt>
                <c:pt idx="19">
                  <c:v>0.5999999999999996</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Data!$I$51:$I$70</c:f>
              <c:numCache>
                <c:ptCount val="20"/>
                <c:pt idx="0">
                  <c:v>-1.1999999999999993</c:v>
                </c:pt>
                <c:pt idx="1">
                  <c:v>-0.5</c:v>
                </c:pt>
                <c:pt idx="2">
                  <c:v>-0.3000000000000007</c:v>
                </c:pt>
                <c:pt idx="3">
                  <c:v>-1.1000000000000005</c:v>
                </c:pt>
                <c:pt idx="4">
                  <c:v>-1</c:v>
                </c:pt>
                <c:pt idx="5">
                  <c:v>-1.299999999999999</c:v>
                </c:pt>
                <c:pt idx="6">
                  <c:v>-1.4000000000000004</c:v>
                </c:pt>
                <c:pt idx="7">
                  <c:v>-2</c:v>
                </c:pt>
                <c:pt idx="8">
                  <c:v>-0.5</c:v>
                </c:pt>
                <c:pt idx="9">
                  <c:v>0.5</c:v>
                </c:pt>
                <c:pt idx="10">
                  <c:v>-0.5999999999999996</c:v>
                </c:pt>
                <c:pt idx="11">
                  <c:v>-0.5999999999999996</c:v>
                </c:pt>
                <c:pt idx="12">
                  <c:v>0.40000000000000036</c:v>
                </c:pt>
                <c:pt idx="13">
                  <c:v>-0.9000000000000004</c:v>
                </c:pt>
                <c:pt idx="14">
                  <c:v>-1.7000000000000002</c:v>
                </c:pt>
                <c:pt idx="15">
                  <c:v>-0.9000000000000004</c:v>
                </c:pt>
                <c:pt idx="16">
                  <c:v>-3.9000000000000004</c:v>
                </c:pt>
                <c:pt idx="17">
                  <c:v>-2.8999999999999986</c:v>
                </c:pt>
                <c:pt idx="18">
                  <c:v>-3.3999999999999986</c:v>
                </c:pt>
                <c:pt idx="19">
                  <c:v>-0.5999999999999996</c:v>
                </c:pt>
              </c:numCache>
            </c:numRef>
          </c:yVal>
          <c:smooth val="0"/>
        </c:ser>
        <c:axId val="60233048"/>
        <c:axId val="5226521"/>
      </c:scatterChart>
      <c:valAx>
        <c:axId val="60233048"/>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226521"/>
        <c:crosses val="autoZero"/>
        <c:crossBetween val="midCat"/>
        <c:dispUnits/>
      </c:valAx>
      <c:valAx>
        <c:axId val="5226521"/>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0233048"/>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Data!$BJ$24:$BJ$43</c:f>
              <c:numCache>
                <c:ptCount val="20"/>
                <c:pt idx="0">
                  <c:v>-0.03238373641966136</c:v>
                </c:pt>
                <c:pt idx="1">
                  <c:v>0</c:v>
                </c:pt>
                <c:pt idx="2">
                  <c:v>0.004624348584054971</c:v>
                </c:pt>
                <c:pt idx="3">
                  <c:v>-0.03789498550946979</c:v>
                </c:pt>
                <c:pt idx="4">
                  <c:v>-0.010494651984480685</c:v>
                </c:pt>
                <c:pt idx="5">
                  <c:v>-0.005729966146875709</c:v>
                </c:pt>
                <c:pt idx="6">
                  <c:v>0.0032759255559755007</c:v>
                </c:pt>
                <c:pt idx="7">
                  <c:v>0.0049890630080502985</c:v>
                </c:pt>
                <c:pt idx="8">
                  <c:v>0.00867171952095852</c:v>
                </c:pt>
                <c:pt idx="9">
                  <c:v>-0.0032088703035682564</c:v>
                </c:pt>
                <c:pt idx="10">
                  <c:v>-0.006954278796142466</c:v>
                </c:pt>
                <c:pt idx="11">
                  <c:v>0</c:v>
                </c:pt>
                <c:pt idx="12">
                  <c:v>0.003055457214447832</c:v>
                </c:pt>
                <c:pt idx="13">
                  <c:v>0.01000105597315415</c:v>
                </c:pt>
                <c:pt idx="14">
                  <c:v>0.03150594703095472</c:v>
                </c:pt>
                <c:pt idx="15">
                  <c:v>0.0028994087376232325</c:v>
                </c:pt>
                <c:pt idx="16">
                  <c:v>-0.004765783041648097</c:v>
                </c:pt>
                <c:pt idx="17">
                  <c:v>0.016286937217748876</c:v>
                </c:pt>
                <c:pt idx="18">
                  <c:v>0.011743382388611168</c:v>
                </c:pt>
                <c:pt idx="19">
                  <c:v>0.0015414244854364267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Data!$BJ$51:$BJ$70</c:f>
              <c:numCache>
                <c:ptCount val="20"/>
                <c:pt idx="0">
                  <c:v>-0.02242058805833813</c:v>
                </c:pt>
                <c:pt idx="1">
                  <c:v>0.0029172683104897734</c:v>
                </c:pt>
                <c:pt idx="2">
                  <c:v>-0.00579892241225205</c:v>
                </c:pt>
                <c:pt idx="3">
                  <c:v>0.013093006634359694</c:v>
                </c:pt>
                <c:pt idx="4">
                  <c:v>-0.015512741508143357</c:v>
                </c:pt>
                <c:pt idx="5">
                  <c:v>-0.05965266664392399</c:v>
                </c:pt>
                <c:pt idx="6">
                  <c:v>-0.021643463040733724</c:v>
                </c:pt>
                <c:pt idx="7">
                  <c:v>-0.0070306992745927666</c:v>
                </c:pt>
                <c:pt idx="8">
                  <c:v>-0.00297352546131302</c:v>
                </c:pt>
                <c:pt idx="9">
                  <c:v>0.018085236260785564</c:v>
                </c:pt>
                <c:pt idx="10">
                  <c:v>-0.0049456455888831075</c:v>
                </c:pt>
                <c:pt idx="11">
                  <c:v>-0.0031586603427477544</c:v>
                </c:pt>
                <c:pt idx="12">
                  <c:v>0.003410511894245072</c:v>
                </c:pt>
                <c:pt idx="13">
                  <c:v>0.004438640628511292</c:v>
                </c:pt>
                <c:pt idx="14">
                  <c:v>-0.023643056138431373</c:v>
                </c:pt>
                <c:pt idx="15">
                  <c:v>-0.03523637007480501</c:v>
                </c:pt>
                <c:pt idx="16">
                  <c:v>0.010830117144808526</c:v>
                </c:pt>
                <c:pt idx="17">
                  <c:v>-0.05739674832683728</c:v>
                </c:pt>
                <c:pt idx="18">
                  <c:v>-0.0393113339361143</c:v>
                </c:pt>
                <c:pt idx="19">
                  <c:v>0.008104867031781537</c:v>
                </c:pt>
              </c:numCache>
            </c:numRef>
          </c:yVal>
          <c:smooth val="0"/>
        </c:ser>
        <c:axId val="19183026"/>
        <c:axId val="38429507"/>
      </c:scatterChart>
      <c:valAx>
        <c:axId val="19183026"/>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8429507"/>
        <c:crosses val="autoZero"/>
        <c:crossBetween val="midCat"/>
        <c:dispUnits/>
      </c:valAx>
      <c:valAx>
        <c:axId val="38429507"/>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9183026"/>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Data!$J$24:$J$43</c:f>
              <c:numCache>
                <c:ptCount val="20"/>
                <c:pt idx="0">
                  <c:v>-2</c:v>
                </c:pt>
                <c:pt idx="1">
                  <c:v>0</c:v>
                </c:pt>
                <c:pt idx="2">
                  <c:v>0.29999999999999893</c:v>
                </c:pt>
                <c:pt idx="3">
                  <c:v>-2.700000000000001</c:v>
                </c:pt>
                <c:pt idx="4">
                  <c:v>-0.6999999999999993</c:v>
                </c:pt>
                <c:pt idx="5">
                  <c:v>-0.40000000000000036</c:v>
                </c:pt>
                <c:pt idx="6">
                  <c:v>0.1999999999999993</c:v>
                </c:pt>
                <c:pt idx="7">
                  <c:v>0.29999999999999893</c:v>
                </c:pt>
                <c:pt idx="8">
                  <c:v>0.5</c:v>
                </c:pt>
                <c:pt idx="9">
                  <c:v>-0.1999999999999993</c:v>
                </c:pt>
                <c:pt idx="10">
                  <c:v>-0.40000000000000036</c:v>
                </c:pt>
                <c:pt idx="11">
                  <c:v>0</c:v>
                </c:pt>
                <c:pt idx="12">
                  <c:v>0.20000000000000107</c:v>
                </c:pt>
                <c:pt idx="13">
                  <c:v>0.6000000000000014</c:v>
                </c:pt>
                <c:pt idx="14">
                  <c:v>2.1000000000000014</c:v>
                </c:pt>
                <c:pt idx="15">
                  <c:v>0.20000000000000107</c:v>
                </c:pt>
                <c:pt idx="16">
                  <c:v>-0.3000000000000007</c:v>
                </c:pt>
                <c:pt idx="17">
                  <c:v>1.200000000000001</c:v>
                </c:pt>
                <c:pt idx="18">
                  <c:v>0.8000000000000007</c:v>
                </c:pt>
                <c:pt idx="19">
                  <c:v>0.09999999999999964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Data!$J$51:$J$70</c:f>
              <c:numCache>
                <c:ptCount val="20"/>
                <c:pt idx="0">
                  <c:v>-1.5</c:v>
                </c:pt>
                <c:pt idx="1">
                  <c:v>0.1999999999999993</c:v>
                </c:pt>
                <c:pt idx="2">
                  <c:v>-0.40000000000000036</c:v>
                </c:pt>
                <c:pt idx="3">
                  <c:v>0.6999999999999993</c:v>
                </c:pt>
                <c:pt idx="4">
                  <c:v>-1.1000000000000014</c:v>
                </c:pt>
                <c:pt idx="5">
                  <c:v>-3.8999999999999986</c:v>
                </c:pt>
                <c:pt idx="6">
                  <c:v>-1.2000000000000002</c:v>
                </c:pt>
                <c:pt idx="7">
                  <c:v>-0.5</c:v>
                </c:pt>
                <c:pt idx="8">
                  <c:v>-0.1999999999999993</c:v>
                </c:pt>
                <c:pt idx="9">
                  <c:v>1.1999999999999993</c:v>
                </c:pt>
                <c:pt idx="10">
                  <c:v>-0.3000000000000007</c:v>
                </c:pt>
                <c:pt idx="11">
                  <c:v>-0.20000000000000107</c:v>
                </c:pt>
                <c:pt idx="12">
                  <c:v>0.1999999999999993</c:v>
                </c:pt>
                <c:pt idx="13">
                  <c:v>0.3000000000000007</c:v>
                </c:pt>
                <c:pt idx="14">
                  <c:v>-1.3000000000000007</c:v>
                </c:pt>
                <c:pt idx="15">
                  <c:v>-2.3000000000000007</c:v>
                </c:pt>
                <c:pt idx="16">
                  <c:v>0.7999999999999989</c:v>
                </c:pt>
                <c:pt idx="17">
                  <c:v>-3.5</c:v>
                </c:pt>
                <c:pt idx="18">
                  <c:v>-2.5</c:v>
                </c:pt>
                <c:pt idx="19">
                  <c:v>0.5</c:v>
                </c:pt>
              </c:numCache>
            </c:numRef>
          </c:yVal>
          <c:smooth val="0"/>
        </c:ser>
        <c:axId val="47038690"/>
        <c:axId val="20695027"/>
      </c:scatterChart>
      <c:valAx>
        <c:axId val="47038690"/>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0695027"/>
        <c:crosses val="autoZero"/>
        <c:crossBetween val="midCat"/>
        <c:dispUnits/>
      </c:valAx>
      <c:valAx>
        <c:axId val="20695027"/>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7038690"/>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Data!$V$24:$V$43</c:f>
              <c:numCache>
                <c:ptCount val="20"/>
                <c:pt idx="0">
                  <c:v>-8.934510033584985</c:v>
                </c:pt>
                <c:pt idx="1">
                  <c:v>-8.1345639453952</c:v>
                </c:pt>
                <c:pt idx="2">
                  <c:v>7.350246199292627</c:v>
                </c:pt>
                <c:pt idx="3">
                  <c:v>-2.484599858653098</c:v>
                </c:pt>
                <c:pt idx="4">
                  <c:v>1.5151805020602183</c:v>
                </c:pt>
                <c:pt idx="5">
                  <c:v>-5.715841383994814</c:v>
                </c:pt>
                <c:pt idx="6">
                  <c:v>3.8099846232270522</c:v>
                </c:pt>
                <c:pt idx="7">
                  <c:v>7.770898432731599</c:v>
                </c:pt>
                <c:pt idx="8">
                  <c:v>3.315220731690033</c:v>
                </c:pt>
                <c:pt idx="9">
                  <c:v>5.310982531394842</c:v>
                </c:pt>
                <c:pt idx="10">
                  <c:v>6.2520356981333975</c:v>
                </c:pt>
                <c:pt idx="11">
                  <c:v>2.5752496102415137</c:v>
                </c:pt>
                <c:pt idx="12">
                  <c:v>-1.6667052485211684</c:v>
                </c:pt>
                <c:pt idx="13">
                  <c:v>-6.3851471986532715</c:v>
                </c:pt>
                <c:pt idx="14">
                  <c:v>-6.1693569005339555</c:v>
                </c:pt>
                <c:pt idx="15">
                  <c:v>-2.2141125877213312</c:v>
                </c:pt>
                <c:pt idx="16">
                  <c:v>-5.4558984250434435</c:v>
                </c:pt>
                <c:pt idx="17">
                  <c:v>5.608946665104327</c:v>
                </c:pt>
                <c:pt idx="18">
                  <c:v>3.774032798284736</c:v>
                </c:pt>
                <c:pt idx="19">
                  <c:v>4.9190244190772034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Data!$V$51:$V$70</c:f>
              <c:numCache>
                <c:ptCount val="20"/>
                <c:pt idx="0">
                  <c:v>-9.237332013101536</c:v>
                </c:pt>
                <c:pt idx="1">
                  <c:v>-3.774032798284736</c:v>
                </c:pt>
                <c:pt idx="2">
                  <c:v>-2.166149678117904</c:v>
                </c:pt>
                <c:pt idx="3">
                  <c:v>-16.093036681263726</c:v>
                </c:pt>
                <c:pt idx="4">
                  <c:v>-6.759329113252875</c:v>
                </c:pt>
                <c:pt idx="5">
                  <c:v>-9.601465323958848</c:v>
                </c:pt>
                <c:pt idx="6">
                  <c:v>-16.907633004393432</c:v>
                </c:pt>
                <c:pt idx="7">
                  <c:v>-14.208251361377279</c:v>
                </c:pt>
                <c:pt idx="8">
                  <c:v>-3.891541624967374</c:v>
                </c:pt>
                <c:pt idx="9">
                  <c:v>4.082199452025549</c:v>
                </c:pt>
                <c:pt idx="10">
                  <c:v>-5.9423420470800465</c:v>
                </c:pt>
                <c:pt idx="11">
                  <c:v>-5.406722127027592</c:v>
                </c:pt>
                <c:pt idx="12">
                  <c:v>4.167269640056816</c:v>
                </c:pt>
                <c:pt idx="13">
                  <c:v>-7.174390485884118</c:v>
                </c:pt>
                <c:pt idx="14">
                  <c:v>-21.197025071608465</c:v>
                </c:pt>
                <c:pt idx="15">
                  <c:v>-7.006756261671683</c:v>
                </c:pt>
                <c:pt idx="16">
                  <c:v>-28.141245943818575</c:v>
                </c:pt>
                <c:pt idx="17">
                  <c:v>-27.142155158000037</c:v>
                </c:pt>
                <c:pt idx="18">
                  <c:v>-31.158759330533513</c:v>
                </c:pt>
                <c:pt idx="19">
                  <c:v>-5.9423420470800465</c:v>
                </c:pt>
              </c:numCache>
            </c:numRef>
          </c:yVal>
          <c:smooth val="0"/>
        </c:ser>
        <c:axId val="52037516"/>
        <c:axId val="65684461"/>
      </c:scatterChart>
      <c:valAx>
        <c:axId val="52037516"/>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5684461"/>
        <c:crosses val="autoZero"/>
        <c:crossBetween val="midCat"/>
        <c:dispUnits/>
      </c:valAx>
      <c:valAx>
        <c:axId val="65684461"/>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2037516"/>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Data!$W$24:$W$43</c:f>
              <c:numCache>
                <c:ptCount val="20"/>
                <c:pt idx="0">
                  <c:v>-18.746295629437327</c:v>
                </c:pt>
                <c:pt idx="1">
                  <c:v>0</c:v>
                </c:pt>
                <c:pt idx="2">
                  <c:v>2.510592113107606</c:v>
                </c:pt>
                <c:pt idx="3">
                  <c:v>-18.10953150707104</c:v>
                </c:pt>
                <c:pt idx="4">
                  <c:v>-5.4915757596114645</c:v>
                </c:pt>
                <c:pt idx="5">
                  <c:v>-2.8170876966696596</c:v>
                </c:pt>
                <c:pt idx="6">
                  <c:v>1.9231361927887747</c:v>
                </c:pt>
                <c:pt idx="7">
                  <c:v>2.985296314968082</c:v>
                </c:pt>
                <c:pt idx="8">
                  <c:v>5.465841253786408</c:v>
                </c:pt>
                <c:pt idx="9">
                  <c:v>-1.8349138668196758</c:v>
                </c:pt>
                <c:pt idx="10">
                  <c:v>-4.396312342111628</c:v>
                </c:pt>
                <c:pt idx="11">
                  <c:v>0</c:v>
                </c:pt>
                <c:pt idx="12">
                  <c:v>1.6393809775676687</c:v>
                </c:pt>
                <c:pt idx="13">
                  <c:v>6.00180097262529</c:v>
                </c:pt>
                <c:pt idx="14">
                  <c:v>16.507975035944895</c:v>
                </c:pt>
                <c:pt idx="15">
                  <c:v>1.4493007302567094</c:v>
                </c:pt>
                <c:pt idx="16">
                  <c:v>-2.690745291992414</c:v>
                </c:pt>
                <c:pt idx="17">
                  <c:v>7.410797215372213</c:v>
                </c:pt>
                <c:pt idx="18">
                  <c:v>5.971923470162267</c:v>
                </c:pt>
                <c:pt idx="19">
                  <c:v>0.8368249670516548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Data!$W$51:$W$70</c:f>
              <c:numCache>
                <c:ptCount val="20"/>
                <c:pt idx="0">
                  <c:v>-11.68643401393112</c:v>
                </c:pt>
                <c:pt idx="1">
                  <c:v>1.470614738969516</c:v>
                </c:pt>
                <c:pt idx="2">
                  <c:v>-2.8987536873251543</c:v>
                </c:pt>
                <c:pt idx="3">
                  <c:v>9.038406146826901</c:v>
                </c:pt>
                <c:pt idx="4">
                  <c:v>-7.461086379117489</c:v>
                </c:pt>
                <c:pt idx="5">
                  <c:v>-32.10980693716252</c:v>
                </c:pt>
                <c:pt idx="6">
                  <c:v>-14.310084364067336</c:v>
                </c:pt>
                <c:pt idx="7">
                  <c:v>-3.367321510658769</c:v>
                </c:pt>
                <c:pt idx="8">
                  <c:v>-1.538491883947927</c:v>
                </c:pt>
                <c:pt idx="9">
                  <c:v>9.531017980432495</c:v>
                </c:pt>
                <c:pt idx="10">
                  <c:v>-2.9270382300113056</c:v>
                </c:pt>
                <c:pt idx="11">
                  <c:v>-1.7699577099401154</c:v>
                </c:pt>
                <c:pt idx="12">
                  <c:v>2.105340919783231</c:v>
                </c:pt>
                <c:pt idx="13">
                  <c:v>2.2814677766171485</c:v>
                </c:pt>
                <c:pt idx="14">
                  <c:v>-15.790302944580901</c:v>
                </c:pt>
                <c:pt idx="15">
                  <c:v>-18.986876242933732</c:v>
                </c:pt>
                <c:pt idx="16">
                  <c:v>4.908961019652338</c:v>
                </c:pt>
                <c:pt idx="17">
                  <c:v>-33.8112926078673</c:v>
                </c:pt>
                <c:pt idx="18">
                  <c:v>-21.921427317432034</c:v>
                </c:pt>
                <c:pt idx="19">
                  <c:v>4.695698308777111</c:v>
                </c:pt>
              </c:numCache>
            </c:numRef>
          </c:yVal>
          <c:smooth val="0"/>
        </c:ser>
        <c:axId val="54289238"/>
        <c:axId val="18841095"/>
      </c:scatterChart>
      <c:valAx>
        <c:axId val="54289238"/>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8841095"/>
        <c:crosses val="autoZero"/>
        <c:crossBetween val="midCat"/>
        <c:dispUnits/>
      </c:valAx>
      <c:valAx>
        <c:axId val="18841095"/>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4289238"/>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Data!$AI$24:$AI$43</c:f>
              <c:numCache>
                <c:ptCount val="20"/>
                <c:pt idx="0">
                  <c:v>-14.285714285714288</c:v>
                </c:pt>
                <c:pt idx="1">
                  <c:v>-18.48739495798319</c:v>
                </c:pt>
                <c:pt idx="2">
                  <c:v>16.806722689075627</c:v>
                </c:pt>
                <c:pt idx="3">
                  <c:v>-1.680672268907557</c:v>
                </c:pt>
                <c:pt idx="4">
                  <c:v>3.3613445378151283</c:v>
                </c:pt>
                <c:pt idx="5">
                  <c:v>-12.60504201680672</c:v>
                </c:pt>
                <c:pt idx="6">
                  <c:v>5.042016806722685</c:v>
                </c:pt>
                <c:pt idx="7">
                  <c:v>9.243697478991596</c:v>
                </c:pt>
                <c:pt idx="8">
                  <c:v>4.201680672268907</c:v>
                </c:pt>
                <c:pt idx="9">
                  <c:v>7.563025210084035</c:v>
                </c:pt>
                <c:pt idx="10">
                  <c:v>9.243697478991598</c:v>
                </c:pt>
                <c:pt idx="11">
                  <c:v>4.201680672268907</c:v>
                </c:pt>
                <c:pt idx="12">
                  <c:v>-4.201680672268907</c:v>
                </c:pt>
                <c:pt idx="13">
                  <c:v>-6.722689075630253</c:v>
                </c:pt>
                <c:pt idx="14">
                  <c:v>-8.403361344537814</c:v>
                </c:pt>
                <c:pt idx="15">
                  <c:v>-5.882352941176464</c:v>
                </c:pt>
                <c:pt idx="16">
                  <c:v>-10.084033613445374</c:v>
                </c:pt>
                <c:pt idx="17">
                  <c:v>3.3613445378151283</c:v>
                </c:pt>
                <c:pt idx="18">
                  <c:v>9.243697478991606</c:v>
                </c:pt>
                <c:pt idx="19">
                  <c:v>11.764705882352942</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Data!$AI$51:$AI$70</c:f>
              <c:numCache>
                <c:ptCount val="20"/>
                <c:pt idx="0">
                  <c:v>-20.168067226890756</c:v>
                </c:pt>
                <c:pt idx="1">
                  <c:v>-9.243697478991606</c:v>
                </c:pt>
                <c:pt idx="2">
                  <c:v>-5.0420168067227</c:v>
                </c:pt>
                <c:pt idx="3">
                  <c:v>-1.6806722689075628</c:v>
                </c:pt>
                <c:pt idx="4">
                  <c:v>-3.361344537815114</c:v>
                </c:pt>
                <c:pt idx="5">
                  <c:v>-22.68907563025212</c:v>
                </c:pt>
                <c:pt idx="6">
                  <c:v>-6.722689075630251</c:v>
                </c:pt>
                <c:pt idx="7">
                  <c:v>-22.68907563025209</c:v>
                </c:pt>
                <c:pt idx="8">
                  <c:v>-7.563025210084042</c:v>
                </c:pt>
                <c:pt idx="9">
                  <c:v>10.084033613445385</c:v>
                </c:pt>
                <c:pt idx="10">
                  <c:v>-9.243697478991592</c:v>
                </c:pt>
                <c:pt idx="11">
                  <c:v>-7.563025210084035</c:v>
                </c:pt>
                <c:pt idx="12">
                  <c:v>4.20168067226891</c:v>
                </c:pt>
                <c:pt idx="13">
                  <c:v>-14.285714285714285</c:v>
                </c:pt>
                <c:pt idx="14">
                  <c:v>-5.88235294117647</c:v>
                </c:pt>
                <c:pt idx="15">
                  <c:v>-15.12605042016807</c:v>
                </c:pt>
                <c:pt idx="16">
                  <c:v>-44.537815126050425</c:v>
                </c:pt>
                <c:pt idx="17">
                  <c:v>-44.53781512605042</c:v>
                </c:pt>
                <c:pt idx="18">
                  <c:v>-51.26050420168067</c:v>
                </c:pt>
                <c:pt idx="19">
                  <c:v>-9.243697478991592</c:v>
                </c:pt>
              </c:numCache>
            </c:numRef>
          </c:yVal>
          <c:smooth val="0"/>
        </c:ser>
        <c:axId val="35352128"/>
        <c:axId val="49733697"/>
      </c:scatterChart>
      <c:valAx>
        <c:axId val="35352128"/>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9733697"/>
        <c:crosses val="autoZero"/>
        <c:crossBetween val="midCat"/>
        <c:dispUnits/>
      </c:valAx>
      <c:valAx>
        <c:axId val="49733697"/>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5352128"/>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15"/>
          <c:w val="0.7915"/>
          <c:h val="0.744"/>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Data!$AJ$24:$AJ$43</c:f>
              <c:numCache>
                <c:ptCount val="20"/>
                <c:pt idx="0">
                  <c:v>-27.73109243697479</c:v>
                </c:pt>
                <c:pt idx="1">
                  <c:v>0</c:v>
                </c:pt>
                <c:pt idx="2">
                  <c:v>6.722689075630257</c:v>
                </c:pt>
                <c:pt idx="3">
                  <c:v>-18.487394957983184</c:v>
                </c:pt>
                <c:pt idx="4">
                  <c:v>-11.764705882352942</c:v>
                </c:pt>
                <c:pt idx="5">
                  <c:v>-4.201680672268907</c:v>
                </c:pt>
                <c:pt idx="6">
                  <c:v>4.201680672268903</c:v>
                </c:pt>
                <c:pt idx="7">
                  <c:v>2.5210084033613427</c:v>
                </c:pt>
                <c:pt idx="8">
                  <c:v>7.563025210084033</c:v>
                </c:pt>
                <c:pt idx="9">
                  <c:v>-2.52100840336135</c:v>
                </c:pt>
                <c:pt idx="10">
                  <c:v>-5.042016806722689</c:v>
                </c:pt>
                <c:pt idx="11">
                  <c:v>0</c:v>
                </c:pt>
                <c:pt idx="12">
                  <c:v>4.201680672268914</c:v>
                </c:pt>
                <c:pt idx="13">
                  <c:v>8.403361344537817</c:v>
                </c:pt>
                <c:pt idx="14">
                  <c:v>39.495798319327726</c:v>
                </c:pt>
                <c:pt idx="15">
                  <c:v>4.201680672268921</c:v>
                </c:pt>
                <c:pt idx="16">
                  <c:v>-4.2016806722689</c:v>
                </c:pt>
                <c:pt idx="17">
                  <c:v>5.0420168067227</c:v>
                </c:pt>
                <c:pt idx="18">
                  <c:v>16.806722689075627</c:v>
                </c:pt>
                <c:pt idx="19">
                  <c:v>1.680672268907557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Data!$AJ$51:$AJ$70</c:f>
              <c:numCache>
                <c:ptCount val="20"/>
                <c:pt idx="0">
                  <c:v>-25.210084033613448</c:v>
                </c:pt>
                <c:pt idx="1">
                  <c:v>5.042016806722671</c:v>
                </c:pt>
                <c:pt idx="2">
                  <c:v>-8.403361344537814</c:v>
                </c:pt>
                <c:pt idx="3">
                  <c:v>3.3613445378151257</c:v>
                </c:pt>
                <c:pt idx="4">
                  <c:v>-5.042016806722671</c:v>
                </c:pt>
                <c:pt idx="5">
                  <c:v>-63.02521008403362</c:v>
                </c:pt>
                <c:pt idx="6">
                  <c:v>-5.042016806722689</c:v>
                </c:pt>
                <c:pt idx="7">
                  <c:v>-0.8403361344537785</c:v>
                </c:pt>
                <c:pt idx="8">
                  <c:v>-4.201680672268921</c:v>
                </c:pt>
                <c:pt idx="9">
                  <c:v>21.84873949579832</c:v>
                </c:pt>
                <c:pt idx="10">
                  <c:v>-5.042016806722689</c:v>
                </c:pt>
                <c:pt idx="11">
                  <c:v>-1.6806722689075642</c:v>
                </c:pt>
                <c:pt idx="12">
                  <c:v>1.6806722689075642</c:v>
                </c:pt>
                <c:pt idx="13">
                  <c:v>5.882352941176478</c:v>
                </c:pt>
                <c:pt idx="14">
                  <c:v>-4.201680672268907</c:v>
                </c:pt>
                <c:pt idx="15">
                  <c:v>-36.97478991596639</c:v>
                </c:pt>
                <c:pt idx="16">
                  <c:v>3.3613445378151283</c:v>
                </c:pt>
                <c:pt idx="17">
                  <c:v>-50.42016806722689</c:v>
                </c:pt>
                <c:pt idx="18">
                  <c:v>-39.495798319327726</c:v>
                </c:pt>
                <c:pt idx="19">
                  <c:v>7.563025210084035</c:v>
                </c:pt>
              </c:numCache>
            </c:numRef>
          </c:yVal>
          <c:smooth val="0"/>
        </c:ser>
        <c:axId val="44950090"/>
        <c:axId val="1897627"/>
      </c:scatterChart>
      <c:valAx>
        <c:axId val="44950090"/>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897627"/>
        <c:crosses val="autoZero"/>
        <c:crossBetween val="midCat"/>
        <c:dispUnits/>
      </c:valAx>
      <c:valAx>
        <c:axId val="1897627"/>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4950090"/>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Data!$AV$24:$AV$43</c:f>
              <c:numCache>
                <c:ptCount val="20"/>
                <c:pt idx="0">
                  <c:v>-0.14944082853818896</c:v>
                </c:pt>
                <c:pt idx="1">
                  <c:v>-0.1425959565361299</c:v>
                </c:pt>
                <c:pt idx="2">
                  <c:v>0.1285931287775588</c:v>
                </c:pt>
                <c:pt idx="3">
                  <c:v>-0.04984544016189263</c:v>
                </c:pt>
                <c:pt idx="4">
                  <c:v>0.027524291591322747</c:v>
                </c:pt>
                <c:pt idx="5">
                  <c:v>-0.10691540928490006</c:v>
                </c:pt>
                <c:pt idx="6">
                  <c:v>0.061724139582982396</c:v>
                </c:pt>
                <c:pt idx="7">
                  <c:v>0.12465890224877008</c:v>
                </c:pt>
                <c:pt idx="8">
                  <c:v>0.04986339958536057</c:v>
                </c:pt>
                <c:pt idx="9">
                  <c:v>0.08925248282988019</c:v>
                </c:pt>
                <c:pt idx="10">
                  <c:v>0.09683640811507344</c:v>
                </c:pt>
                <c:pt idx="11">
                  <c:v>0.04394781590089947</c:v>
                </c:pt>
                <c:pt idx="12">
                  <c:v>-0.02886776405314917</c:v>
                </c:pt>
                <c:pt idx="13">
                  <c:v>-0.09786167467981599</c:v>
                </c:pt>
                <c:pt idx="14">
                  <c:v>-0.10390148494201412</c:v>
                </c:pt>
                <c:pt idx="15">
                  <c:v>-0.04075006111972401</c:v>
                </c:pt>
                <c:pt idx="16">
                  <c:v>-0.09046181603509718</c:v>
                </c:pt>
                <c:pt idx="17">
                  <c:v>0.11233567069168071</c:v>
                </c:pt>
                <c:pt idx="18">
                  <c:v>0.06868333871077814</c:v>
                </c:pt>
                <c:pt idx="19">
                  <c:v>0.08589624380066985</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Data!$AV$51:$AV$70</c:f>
              <c:numCache>
                <c:ptCount val="20"/>
                <c:pt idx="0">
                  <c:v>-0.16645441058535315</c:v>
                </c:pt>
                <c:pt idx="1">
                  <c:v>-0.06868333871077814</c:v>
                </c:pt>
                <c:pt idx="2">
                  <c:v>-0.04030628210959186</c:v>
                </c:pt>
                <c:pt idx="3">
                  <c:v>-0.21031402214486183</c:v>
                </c:pt>
                <c:pt idx="4">
                  <c:v>-0.12998736288378154</c:v>
                </c:pt>
                <c:pt idx="5">
                  <c:v>-0.17663173706976032</c:v>
                </c:pt>
                <c:pt idx="6">
                  <c:v>-0.2431902495819558</c:v>
                </c:pt>
                <c:pt idx="7">
                  <c:v>-0.26647963137431807</c:v>
                </c:pt>
                <c:pt idx="8">
                  <c:v>-0.06974434431100152</c:v>
                </c:pt>
                <c:pt idx="9">
                  <c:v>0.07143229079498337</c:v>
                </c:pt>
                <c:pt idx="10">
                  <c:v>-0.09440793081971455</c:v>
                </c:pt>
                <c:pt idx="11">
                  <c:v>-0.09005325819582977</c:v>
                </c:pt>
                <c:pt idx="12">
                  <c:v>0.06455322514852702</c:v>
                </c:pt>
                <c:pt idx="13">
                  <c:v>-0.12704584927877205</c:v>
                </c:pt>
                <c:pt idx="14">
                  <c:v>-0.30000520503551176</c:v>
                </c:pt>
                <c:pt idx="15">
                  <c:v>-0.12555313343029217</c:v>
                </c:pt>
                <c:pt idx="16">
                  <c:v>-0.5233787923376227</c:v>
                </c:pt>
                <c:pt idx="17">
                  <c:v>-0.4432597029192147</c:v>
                </c:pt>
                <c:pt idx="18">
                  <c:v>-0.5141157998457109</c:v>
                </c:pt>
                <c:pt idx="19">
                  <c:v>-0.09440793081971455</c:v>
                </c:pt>
              </c:numCache>
            </c:numRef>
          </c:yVal>
          <c:smooth val="0"/>
        </c:ser>
        <c:axId val="17078644"/>
        <c:axId val="19490069"/>
      </c:scatterChart>
      <c:valAx>
        <c:axId val="17078644"/>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9490069"/>
        <c:crosses val="autoZero"/>
        <c:crossBetween val="midCat"/>
        <c:dispUnits/>
      </c:valAx>
      <c:valAx>
        <c:axId val="19490069"/>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7078644"/>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Data!$AW$24:$AW$43</c:f>
              <c:numCache>
                <c:ptCount val="20"/>
                <c:pt idx="0">
                  <c:v>-0.30604397481792667</c:v>
                </c:pt>
                <c:pt idx="1">
                  <c:v>0</c:v>
                </c:pt>
                <c:pt idx="2">
                  <c:v>0.04339261872168354</c:v>
                </c:pt>
                <c:pt idx="3">
                  <c:v>-0.34950806472011475</c:v>
                </c:pt>
                <c:pt idx="4">
                  <c:v>-0.09802884183896943</c:v>
                </c:pt>
                <c:pt idx="5">
                  <c:v>-0.05307580542811374</c:v>
                </c:pt>
                <c:pt idx="6">
                  <c:v>0.031009042027687617</c:v>
                </c:pt>
                <c:pt idx="7">
                  <c:v>0.047317340023807386</c:v>
                </c:pt>
                <c:pt idx="8">
                  <c:v>0.0826551653159191</c:v>
                </c:pt>
                <c:pt idx="9">
                  <c:v>-0.03028944532440292</c:v>
                </c:pt>
                <c:pt idx="10">
                  <c:v>-0.06630335836012202</c:v>
                </c:pt>
                <c:pt idx="11">
                  <c:v>0</c:v>
                </c:pt>
                <c:pt idx="12">
                  <c:v>0.028630157164819536</c:v>
                </c:pt>
                <c:pt idx="13">
                  <c:v>0.09487900669675531</c:v>
                </c:pt>
                <c:pt idx="14">
                  <c:v>0.29430884890392806</c:v>
                </c:pt>
                <c:pt idx="15">
                  <c:v>0.026919271797100297</c:v>
                </c:pt>
                <c:pt idx="16">
                  <c:v>-0.044922472438922334</c:v>
                </c:pt>
                <c:pt idx="17">
                  <c:v>0.14909677475754002</c:v>
                </c:pt>
                <c:pt idx="18">
                  <c:v>0.10928384873735286</c:v>
                </c:pt>
                <c:pt idx="19">
                  <c:v>0.01446395300568648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Data!$AW$51:$AW$70</c:f>
              <c:numCache>
                <c:ptCount val="20"/>
                <c:pt idx="0">
                  <c:v>-0.20931235673193793</c:v>
                </c:pt>
                <c:pt idx="1">
                  <c:v>0.0271164904895822</c:v>
                </c:pt>
                <c:pt idx="2">
                  <c:v>-0.05383960385678632</c:v>
                </c:pt>
                <c:pt idx="3">
                  <c:v>0.125755792404453</c:v>
                </c:pt>
                <c:pt idx="4">
                  <c:v>-0.14323270683823486</c:v>
                </c:pt>
                <c:pt idx="5">
                  <c:v>-0.5589274291071118</c:v>
                </c:pt>
                <c:pt idx="6">
                  <c:v>-0.20715199124621186</c:v>
                </c:pt>
                <c:pt idx="7">
                  <c:v>-0.06487721063652918</c:v>
                </c:pt>
                <c:pt idx="8">
                  <c:v>-0.027735214957177234</c:v>
                </c:pt>
                <c:pt idx="9">
                  <c:v>0.1690788097792355</c:v>
                </c:pt>
                <c:pt idx="10">
                  <c:v>-0.04685338290527952</c:v>
                </c:pt>
                <c:pt idx="11">
                  <c:v>-0.029748497090524406</c:v>
                </c:pt>
                <c:pt idx="12">
                  <c:v>0.032444733614755084</c:v>
                </c:pt>
                <c:pt idx="13">
                  <c:v>0.041365230298104905</c:v>
                </c:pt>
                <c:pt idx="14">
                  <c:v>-0.22647702761721522</c:v>
                </c:pt>
                <c:pt idx="15">
                  <c:v>-0.3302917154066942</c:v>
                </c:pt>
                <c:pt idx="16">
                  <c:v>0.09908294086513303</c:v>
                </c:pt>
                <c:pt idx="17">
                  <c:v>-0.5432735985640713</c:v>
                </c:pt>
                <c:pt idx="18">
                  <c:v>-0.36996205170683005</c:v>
                </c:pt>
                <c:pt idx="19">
                  <c:v>0.07661170452441546</c:v>
                </c:pt>
              </c:numCache>
            </c:numRef>
          </c:yVal>
          <c:smooth val="0"/>
        </c:ser>
        <c:axId val="41192894"/>
        <c:axId val="35191727"/>
      </c:scatterChart>
      <c:valAx>
        <c:axId val="41192894"/>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5191727"/>
        <c:crosses val="autoZero"/>
        <c:crossBetween val="midCat"/>
        <c:dispUnits/>
      </c:valAx>
      <c:valAx>
        <c:axId val="35191727"/>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1192894"/>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Data!$BI$24:$BI$43</c:f>
              <c:numCache>
                <c:ptCount val="20"/>
                <c:pt idx="0">
                  <c:v>-0.015858255230549678</c:v>
                </c:pt>
                <c:pt idx="1">
                  <c:v>-0.015226524574528777</c:v>
                </c:pt>
                <c:pt idx="2">
                  <c:v>0.013727416423644112</c:v>
                </c:pt>
                <c:pt idx="3">
                  <c:v>-0.005441813976445997</c:v>
                </c:pt>
                <c:pt idx="4">
                  <c:v>0.0029543098583469374</c:v>
                </c:pt>
                <c:pt idx="5">
                  <c:v>-0.011528888559127759</c:v>
                </c:pt>
                <c:pt idx="6">
                  <c:v>0.00652442521595753</c:v>
                </c:pt>
                <c:pt idx="7">
                  <c:v>0.013161999997963525</c:v>
                </c:pt>
                <c:pt idx="8">
                  <c:v>0.005228531045493201</c:v>
                </c:pt>
                <c:pt idx="9">
                  <c:v>0.009476672384555518</c:v>
                </c:pt>
                <c:pt idx="10">
                  <c:v>0.010184771751908628</c:v>
                </c:pt>
                <c:pt idx="11">
                  <c:v>0.004675557313129741</c:v>
                </c:pt>
                <c:pt idx="12">
                  <c:v>-0.0030773120561080614</c:v>
                </c:pt>
                <c:pt idx="13">
                  <c:v>-0.010281235668932742</c:v>
                </c:pt>
                <c:pt idx="14">
                  <c:v>-0.01103516480395017</c:v>
                </c:pt>
                <c:pt idx="15">
                  <c:v>-0.004382735220802847</c:v>
                </c:pt>
                <c:pt idx="16">
                  <c:v>-0.009588873468247605</c:v>
                </c:pt>
                <c:pt idx="17">
                  <c:v>0.012260366478159479</c:v>
                </c:pt>
                <c:pt idx="18">
                  <c:v>0.007374203855044004</c:v>
                </c:pt>
                <c:pt idx="19">
                  <c:v>0.009166942502472741</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Data!$BI$51:$BI$70</c:f>
              <c:numCache>
                <c:ptCount val="20"/>
                <c:pt idx="0">
                  <c:v>-0.017845418506373167</c:v>
                </c:pt>
                <c:pt idx="1">
                  <c:v>-0.007374203855044004</c:v>
                </c:pt>
                <c:pt idx="2">
                  <c:v>-0.00434254753877511</c:v>
                </c:pt>
                <c:pt idx="3">
                  <c:v>-0.021790214607899483</c:v>
                </c:pt>
                <c:pt idx="4">
                  <c:v>-0.014082378991917333</c:v>
                </c:pt>
                <c:pt idx="5">
                  <c:v>-0.018996616246221898</c:v>
                </c:pt>
                <c:pt idx="6">
                  <c:v>-0.025394596346112297</c:v>
                </c:pt>
                <c:pt idx="7">
                  <c:v>-0.028750465303363615</c:v>
                </c:pt>
                <c:pt idx="8">
                  <c:v>-0.007470913820167846</c:v>
                </c:pt>
                <c:pt idx="9">
                  <c:v>0.007625518017036315</c:v>
                </c:pt>
                <c:pt idx="10">
                  <c:v>-0.009956934489378566</c:v>
                </c:pt>
                <c:pt idx="11">
                  <c:v>-0.009550934503971265</c:v>
                </c:pt>
                <c:pt idx="12">
                  <c:v>0.00678941455629839</c:v>
                </c:pt>
                <c:pt idx="13">
                  <c:v>-0.013585490766281294</c:v>
                </c:pt>
                <c:pt idx="14">
                  <c:v>-0.03128399013014255</c:v>
                </c:pt>
                <c:pt idx="15">
                  <c:v>-0.013448961842827623</c:v>
                </c:pt>
                <c:pt idx="16">
                  <c:v>-0.05640964716203356</c:v>
                </c:pt>
                <c:pt idx="17">
                  <c:v>-0.04691252509252253</c:v>
                </c:pt>
                <c:pt idx="18">
                  <c:v>-0.05448516869607323</c:v>
                </c:pt>
                <c:pt idx="19">
                  <c:v>-0.009956934489378566</c:v>
                </c:pt>
              </c:numCache>
            </c:numRef>
          </c:yVal>
          <c:smooth val="0"/>
        </c:ser>
        <c:axId val="48290088"/>
        <c:axId val="31957609"/>
      </c:scatterChart>
      <c:valAx>
        <c:axId val="48290088"/>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1957609"/>
        <c:crosses val="autoZero"/>
        <c:crossBetween val="midCat"/>
        <c:dispUnits/>
      </c:valAx>
      <c:valAx>
        <c:axId val="31957609"/>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8290088"/>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647700</xdr:colOff>
      <xdr:row>95</xdr:row>
      <xdr:rowOff>142875</xdr:rowOff>
    </xdr:from>
    <xdr:to>
      <xdr:col>27</xdr:col>
      <xdr:colOff>647700</xdr:colOff>
      <xdr:row>105</xdr:row>
      <xdr:rowOff>209550</xdr:rowOff>
    </xdr:to>
    <xdr:sp>
      <xdr:nvSpPr>
        <xdr:cNvPr id="1" name="Line 240"/>
        <xdr:cNvSpPr>
          <a:spLocks/>
        </xdr:cNvSpPr>
      </xdr:nvSpPr>
      <xdr:spPr>
        <a:xfrm>
          <a:off x="16068675"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561975</xdr:colOff>
      <xdr:row>95</xdr:row>
      <xdr:rowOff>142875</xdr:rowOff>
    </xdr:from>
    <xdr:to>
      <xdr:col>32</xdr:col>
      <xdr:colOff>561975</xdr:colOff>
      <xdr:row>105</xdr:row>
      <xdr:rowOff>209550</xdr:rowOff>
    </xdr:to>
    <xdr:sp>
      <xdr:nvSpPr>
        <xdr:cNvPr id="2" name="Line 241"/>
        <xdr:cNvSpPr>
          <a:spLocks/>
        </xdr:cNvSpPr>
      </xdr:nvSpPr>
      <xdr:spPr>
        <a:xfrm>
          <a:off x="18954750"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485775</xdr:colOff>
      <xdr:row>95</xdr:row>
      <xdr:rowOff>123825</xdr:rowOff>
    </xdr:from>
    <xdr:to>
      <xdr:col>40</xdr:col>
      <xdr:colOff>485775</xdr:colOff>
      <xdr:row>105</xdr:row>
      <xdr:rowOff>190500</xdr:rowOff>
    </xdr:to>
    <xdr:sp>
      <xdr:nvSpPr>
        <xdr:cNvPr id="3" name="Line 242"/>
        <xdr:cNvSpPr>
          <a:spLocks/>
        </xdr:cNvSpPr>
      </xdr:nvSpPr>
      <xdr:spPr>
        <a:xfrm>
          <a:off x="23374350" y="1637347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561975</xdr:colOff>
      <xdr:row>95</xdr:row>
      <xdr:rowOff>114300</xdr:rowOff>
    </xdr:from>
    <xdr:to>
      <xdr:col>45</xdr:col>
      <xdr:colOff>561975</xdr:colOff>
      <xdr:row>105</xdr:row>
      <xdr:rowOff>180975</xdr:rowOff>
    </xdr:to>
    <xdr:sp>
      <xdr:nvSpPr>
        <xdr:cNvPr id="4" name="Line 243"/>
        <xdr:cNvSpPr>
          <a:spLocks/>
        </xdr:cNvSpPr>
      </xdr:nvSpPr>
      <xdr:spPr>
        <a:xfrm>
          <a:off x="26508075"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495300</xdr:colOff>
      <xdr:row>95</xdr:row>
      <xdr:rowOff>142875</xdr:rowOff>
    </xdr:from>
    <xdr:to>
      <xdr:col>53</xdr:col>
      <xdr:colOff>495300</xdr:colOff>
      <xdr:row>105</xdr:row>
      <xdr:rowOff>209550</xdr:rowOff>
    </xdr:to>
    <xdr:sp>
      <xdr:nvSpPr>
        <xdr:cNvPr id="5" name="Line 244"/>
        <xdr:cNvSpPr>
          <a:spLocks/>
        </xdr:cNvSpPr>
      </xdr:nvSpPr>
      <xdr:spPr>
        <a:xfrm>
          <a:off x="30937200"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504825</xdr:colOff>
      <xdr:row>95</xdr:row>
      <xdr:rowOff>114300</xdr:rowOff>
    </xdr:from>
    <xdr:to>
      <xdr:col>58</xdr:col>
      <xdr:colOff>504825</xdr:colOff>
      <xdr:row>105</xdr:row>
      <xdr:rowOff>180975</xdr:rowOff>
    </xdr:to>
    <xdr:sp>
      <xdr:nvSpPr>
        <xdr:cNvPr id="6" name="Line 245"/>
        <xdr:cNvSpPr>
          <a:spLocks/>
        </xdr:cNvSpPr>
      </xdr:nvSpPr>
      <xdr:spPr>
        <a:xfrm>
          <a:off x="33909000"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cdr:y>
    </cdr:from>
    <cdr:to>
      <cdr:x>0.61825</cdr:x>
      <cdr:y>0.07775</cdr:y>
    </cdr:to>
    <cdr:sp>
      <cdr:nvSpPr>
        <cdr:cNvPr id="1" name="TextBox 1"/>
        <cdr:cNvSpPr txBox="1">
          <a:spLocks noChangeArrowheads="1"/>
        </cdr:cNvSpPr>
      </cdr:nvSpPr>
      <cdr:spPr>
        <a:xfrm>
          <a:off x="1409700" y="0"/>
          <a:ext cx="1362075" cy="247650"/>
        </a:xfrm>
        <a:prstGeom prst="rect">
          <a:avLst/>
        </a:prstGeom>
        <a:noFill/>
        <a:ln w="9525" cmpd="sng">
          <a:noFill/>
        </a:ln>
      </cdr:spPr>
      <cdr:txBody>
        <a:bodyPr vertOverflow="clip" wrap="square"/>
        <a:p>
          <a:pPr algn="ctr">
            <a:defRPr/>
          </a:pPr>
          <a:r>
            <a:rPr lang="en-US" cap="none" sz="1375" b="1" i="0" u="none" baseline="0">
              <a:latin typeface="Arial"/>
              <a:ea typeface="Arial"/>
              <a:cs typeface="Arial"/>
            </a:rPr>
            <a:t>Raw Data</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cdr:x>
      <cdr:y>0</cdr:y>
    </cdr:from>
    <cdr:to>
      <cdr:x>0.7785</cdr:x>
      <cdr:y>0.081</cdr:y>
    </cdr:to>
    <cdr:sp>
      <cdr:nvSpPr>
        <cdr:cNvPr id="1" name="TextBox 1"/>
        <cdr:cNvSpPr txBox="1">
          <a:spLocks noChangeArrowheads="1"/>
        </cdr:cNvSpPr>
      </cdr:nvSpPr>
      <cdr:spPr>
        <a:xfrm>
          <a:off x="771525" y="0"/>
          <a:ext cx="2667000" cy="257175"/>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Log-transformed Data</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cdr:y>
    </cdr:from>
    <cdr:to>
      <cdr:x>0.9095</cdr:x>
      <cdr:y>0.10125</cdr:y>
    </cdr:to>
    <cdr:sp>
      <cdr:nvSpPr>
        <cdr:cNvPr id="1" name="TextBox 1"/>
        <cdr:cNvSpPr txBox="1">
          <a:spLocks noChangeArrowheads="1"/>
        </cdr:cNvSpPr>
      </cdr:nvSpPr>
      <cdr:spPr>
        <a:xfrm>
          <a:off x="285750" y="0"/>
          <a:ext cx="3733800"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Percentile rank-transformed Data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cdr:y>
    </cdr:from>
    <cdr:to>
      <cdr:x>0.9095</cdr:x>
      <cdr:y>0.10125</cdr:y>
    </cdr:to>
    <cdr:sp>
      <cdr:nvSpPr>
        <cdr:cNvPr id="1" name="TextBox 1"/>
        <cdr:cNvSpPr txBox="1">
          <a:spLocks noChangeArrowheads="1"/>
        </cdr:cNvSpPr>
      </cdr:nvSpPr>
      <cdr:spPr>
        <a:xfrm>
          <a:off x="314325" y="0"/>
          <a:ext cx="370522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Root-transformed Data</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cdr:y>
    </cdr:from>
    <cdr:to>
      <cdr:x>0.9095</cdr:x>
      <cdr:y>0.101</cdr:y>
    </cdr:to>
    <cdr:sp>
      <cdr:nvSpPr>
        <cdr:cNvPr id="1" name="TextBox 1"/>
        <cdr:cNvSpPr txBox="1">
          <a:spLocks noChangeArrowheads="1"/>
        </cdr:cNvSpPr>
      </cdr:nvSpPr>
      <cdr:spPr>
        <a:xfrm>
          <a:off x="361950" y="0"/>
          <a:ext cx="364807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Arcsineroot-transformed Data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76200</xdr:rowOff>
    </xdr:from>
    <xdr:to>
      <xdr:col>8</xdr:col>
      <xdr:colOff>228600</xdr:colOff>
      <xdr:row>24</xdr:row>
      <xdr:rowOff>38100</xdr:rowOff>
    </xdr:to>
    <xdr:graphicFrame>
      <xdr:nvGraphicFramePr>
        <xdr:cNvPr id="1" name="Chart 5"/>
        <xdr:cNvGraphicFramePr/>
      </xdr:nvGraphicFramePr>
      <xdr:xfrm>
        <a:off x="609600" y="723900"/>
        <a:ext cx="4495800" cy="3200400"/>
      </xdr:xfrm>
      <a:graphic>
        <a:graphicData uri="http://schemas.openxmlformats.org/drawingml/2006/chart">
          <c:chart xmlns:c="http://schemas.openxmlformats.org/drawingml/2006/chart" r:id="rId1"/>
        </a:graphicData>
      </a:graphic>
    </xdr:graphicFrame>
    <xdr:clientData/>
  </xdr:twoCellAnchor>
  <xdr:twoCellAnchor>
    <xdr:from>
      <xdr:col>0</xdr:col>
      <xdr:colOff>571500</xdr:colOff>
      <xdr:row>26</xdr:row>
      <xdr:rowOff>57150</xdr:rowOff>
    </xdr:from>
    <xdr:to>
      <xdr:col>8</xdr:col>
      <xdr:colOff>190500</xdr:colOff>
      <xdr:row>46</xdr:row>
      <xdr:rowOff>19050</xdr:rowOff>
    </xdr:to>
    <xdr:graphicFrame>
      <xdr:nvGraphicFramePr>
        <xdr:cNvPr id="2" name="Chart 6"/>
        <xdr:cNvGraphicFramePr/>
      </xdr:nvGraphicFramePr>
      <xdr:xfrm>
        <a:off x="571500" y="4267200"/>
        <a:ext cx="4495800" cy="3200400"/>
      </xdr:xfrm>
      <a:graphic>
        <a:graphicData uri="http://schemas.openxmlformats.org/drawingml/2006/chart">
          <c:chart xmlns:c="http://schemas.openxmlformats.org/drawingml/2006/chart" r:id="rId2"/>
        </a:graphicData>
      </a:graphic>
    </xdr:graphicFrame>
    <xdr:clientData/>
  </xdr:twoCellAnchor>
  <xdr:twoCellAnchor>
    <xdr:from>
      <xdr:col>9</xdr:col>
      <xdr:colOff>590550</xdr:colOff>
      <xdr:row>4</xdr:row>
      <xdr:rowOff>76200</xdr:rowOff>
    </xdr:from>
    <xdr:to>
      <xdr:col>17</xdr:col>
      <xdr:colOff>133350</xdr:colOff>
      <xdr:row>24</xdr:row>
      <xdr:rowOff>38100</xdr:rowOff>
    </xdr:to>
    <xdr:graphicFrame>
      <xdr:nvGraphicFramePr>
        <xdr:cNvPr id="3" name="Chart 7"/>
        <xdr:cNvGraphicFramePr/>
      </xdr:nvGraphicFramePr>
      <xdr:xfrm>
        <a:off x="6076950" y="723900"/>
        <a:ext cx="4419600" cy="3200400"/>
      </xdr:xfrm>
      <a:graphic>
        <a:graphicData uri="http://schemas.openxmlformats.org/drawingml/2006/chart">
          <c:chart xmlns:c="http://schemas.openxmlformats.org/drawingml/2006/chart" r:id="rId3"/>
        </a:graphicData>
      </a:graphic>
    </xdr:graphicFrame>
    <xdr:clientData/>
  </xdr:twoCellAnchor>
  <xdr:twoCellAnchor>
    <xdr:from>
      <xdr:col>10</xdr:col>
      <xdr:colOff>19050</xdr:colOff>
      <xdr:row>26</xdr:row>
      <xdr:rowOff>57150</xdr:rowOff>
    </xdr:from>
    <xdr:to>
      <xdr:col>17</xdr:col>
      <xdr:colOff>171450</xdr:colOff>
      <xdr:row>46</xdr:row>
      <xdr:rowOff>19050</xdr:rowOff>
    </xdr:to>
    <xdr:graphicFrame>
      <xdr:nvGraphicFramePr>
        <xdr:cNvPr id="4" name="Chart 8"/>
        <xdr:cNvGraphicFramePr/>
      </xdr:nvGraphicFramePr>
      <xdr:xfrm>
        <a:off x="6115050" y="4267200"/>
        <a:ext cx="4419600" cy="3200400"/>
      </xdr:xfrm>
      <a:graphic>
        <a:graphicData uri="http://schemas.openxmlformats.org/drawingml/2006/chart">
          <c:chart xmlns:c="http://schemas.openxmlformats.org/drawingml/2006/chart" r:id="rId4"/>
        </a:graphicData>
      </a:graphic>
    </xdr:graphicFrame>
    <xdr:clientData/>
  </xdr:twoCellAnchor>
  <xdr:twoCellAnchor>
    <xdr:from>
      <xdr:col>19</xdr:col>
      <xdr:colOff>0</xdr:colOff>
      <xdr:row>4</xdr:row>
      <xdr:rowOff>57150</xdr:rowOff>
    </xdr:from>
    <xdr:to>
      <xdr:col>26</xdr:col>
      <xdr:colOff>152400</xdr:colOff>
      <xdr:row>24</xdr:row>
      <xdr:rowOff>19050</xdr:rowOff>
    </xdr:to>
    <xdr:graphicFrame>
      <xdr:nvGraphicFramePr>
        <xdr:cNvPr id="5" name="Chart 9"/>
        <xdr:cNvGraphicFramePr/>
      </xdr:nvGraphicFramePr>
      <xdr:xfrm>
        <a:off x="11582400" y="704850"/>
        <a:ext cx="4419600" cy="3200400"/>
      </xdr:xfrm>
      <a:graphic>
        <a:graphicData uri="http://schemas.openxmlformats.org/drawingml/2006/chart">
          <c:chart xmlns:c="http://schemas.openxmlformats.org/drawingml/2006/chart" r:id="rId5"/>
        </a:graphicData>
      </a:graphic>
    </xdr:graphicFrame>
    <xdr:clientData/>
  </xdr:twoCellAnchor>
  <xdr:twoCellAnchor>
    <xdr:from>
      <xdr:col>19</xdr:col>
      <xdr:colOff>38100</xdr:colOff>
      <xdr:row>26</xdr:row>
      <xdr:rowOff>38100</xdr:rowOff>
    </xdr:from>
    <xdr:to>
      <xdr:col>26</xdr:col>
      <xdr:colOff>190500</xdr:colOff>
      <xdr:row>46</xdr:row>
      <xdr:rowOff>0</xdr:rowOff>
    </xdr:to>
    <xdr:graphicFrame>
      <xdr:nvGraphicFramePr>
        <xdr:cNvPr id="6" name="Chart 10"/>
        <xdr:cNvGraphicFramePr/>
      </xdr:nvGraphicFramePr>
      <xdr:xfrm>
        <a:off x="11620500" y="4248150"/>
        <a:ext cx="4419600" cy="3200400"/>
      </xdr:xfrm>
      <a:graphic>
        <a:graphicData uri="http://schemas.openxmlformats.org/drawingml/2006/chart">
          <c:chart xmlns:c="http://schemas.openxmlformats.org/drawingml/2006/chart" r:id="rId6"/>
        </a:graphicData>
      </a:graphic>
    </xdr:graphicFrame>
    <xdr:clientData/>
  </xdr:twoCellAnchor>
  <xdr:twoCellAnchor>
    <xdr:from>
      <xdr:col>28</xdr:col>
      <xdr:colOff>19050</xdr:colOff>
      <xdr:row>4</xdr:row>
      <xdr:rowOff>57150</xdr:rowOff>
    </xdr:from>
    <xdr:to>
      <xdr:col>35</xdr:col>
      <xdr:colOff>171450</xdr:colOff>
      <xdr:row>24</xdr:row>
      <xdr:rowOff>19050</xdr:rowOff>
    </xdr:to>
    <xdr:graphicFrame>
      <xdr:nvGraphicFramePr>
        <xdr:cNvPr id="7" name="Chart 11"/>
        <xdr:cNvGraphicFramePr/>
      </xdr:nvGraphicFramePr>
      <xdr:xfrm>
        <a:off x="17087850" y="704850"/>
        <a:ext cx="4419600" cy="3200400"/>
      </xdr:xfrm>
      <a:graphic>
        <a:graphicData uri="http://schemas.openxmlformats.org/drawingml/2006/chart">
          <c:chart xmlns:c="http://schemas.openxmlformats.org/drawingml/2006/chart" r:id="rId7"/>
        </a:graphicData>
      </a:graphic>
    </xdr:graphicFrame>
    <xdr:clientData/>
  </xdr:twoCellAnchor>
  <xdr:twoCellAnchor>
    <xdr:from>
      <xdr:col>28</xdr:col>
      <xdr:colOff>19050</xdr:colOff>
      <xdr:row>26</xdr:row>
      <xdr:rowOff>57150</xdr:rowOff>
    </xdr:from>
    <xdr:to>
      <xdr:col>35</xdr:col>
      <xdr:colOff>171450</xdr:colOff>
      <xdr:row>46</xdr:row>
      <xdr:rowOff>19050</xdr:rowOff>
    </xdr:to>
    <xdr:graphicFrame>
      <xdr:nvGraphicFramePr>
        <xdr:cNvPr id="8" name="Chart 12"/>
        <xdr:cNvGraphicFramePr/>
      </xdr:nvGraphicFramePr>
      <xdr:xfrm>
        <a:off x="17087850" y="4267200"/>
        <a:ext cx="4419600" cy="3200400"/>
      </xdr:xfrm>
      <a:graphic>
        <a:graphicData uri="http://schemas.openxmlformats.org/drawingml/2006/chart">
          <c:chart xmlns:c="http://schemas.openxmlformats.org/drawingml/2006/chart" r:id="rId8"/>
        </a:graphicData>
      </a:graphic>
    </xdr:graphicFrame>
    <xdr:clientData/>
  </xdr:twoCellAnchor>
  <xdr:twoCellAnchor>
    <xdr:from>
      <xdr:col>37</xdr:col>
      <xdr:colOff>19050</xdr:colOff>
      <xdr:row>4</xdr:row>
      <xdr:rowOff>19050</xdr:rowOff>
    </xdr:from>
    <xdr:to>
      <xdr:col>44</xdr:col>
      <xdr:colOff>171450</xdr:colOff>
      <xdr:row>23</xdr:row>
      <xdr:rowOff>142875</xdr:rowOff>
    </xdr:to>
    <xdr:graphicFrame>
      <xdr:nvGraphicFramePr>
        <xdr:cNvPr id="9" name="Chart 13"/>
        <xdr:cNvGraphicFramePr/>
      </xdr:nvGraphicFramePr>
      <xdr:xfrm>
        <a:off x="22574250" y="666750"/>
        <a:ext cx="4419600" cy="3200400"/>
      </xdr:xfrm>
      <a:graphic>
        <a:graphicData uri="http://schemas.openxmlformats.org/drawingml/2006/chart">
          <c:chart xmlns:c="http://schemas.openxmlformats.org/drawingml/2006/chart" r:id="rId9"/>
        </a:graphicData>
      </a:graphic>
    </xdr:graphicFrame>
    <xdr:clientData/>
  </xdr:twoCellAnchor>
  <xdr:twoCellAnchor>
    <xdr:from>
      <xdr:col>37</xdr:col>
      <xdr:colOff>19050</xdr:colOff>
      <xdr:row>26</xdr:row>
      <xdr:rowOff>38100</xdr:rowOff>
    </xdr:from>
    <xdr:to>
      <xdr:col>44</xdr:col>
      <xdr:colOff>171450</xdr:colOff>
      <xdr:row>46</xdr:row>
      <xdr:rowOff>0</xdr:rowOff>
    </xdr:to>
    <xdr:graphicFrame>
      <xdr:nvGraphicFramePr>
        <xdr:cNvPr id="10" name="Chart 14"/>
        <xdr:cNvGraphicFramePr/>
      </xdr:nvGraphicFramePr>
      <xdr:xfrm>
        <a:off x="22574250" y="4248150"/>
        <a:ext cx="4419600" cy="32004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1:BL217"/>
  <sheetViews>
    <sheetView tabSelected="1" zoomScale="85" zoomScaleNormal="85" workbookViewId="0" topLeftCell="A1">
      <selection activeCell="A1" sqref="A1"/>
    </sheetView>
  </sheetViews>
  <sheetFormatPr defaultColWidth="9.140625" defaultRowHeight="12.75"/>
  <cols>
    <col min="1" max="1" width="4.00390625" style="0" customWidth="1"/>
    <col min="2" max="2" width="13.00390625" style="0" customWidth="1"/>
    <col min="3" max="3" width="9.57421875" style="0" customWidth="1"/>
    <col min="4" max="4" width="7.140625" style="0" customWidth="1"/>
    <col min="5" max="5" width="6.8515625" style="0" customWidth="1"/>
    <col min="6" max="6" width="7.00390625" style="0" customWidth="1"/>
    <col min="7" max="7" width="14.421875" style="0" customWidth="1"/>
    <col min="8" max="8" width="6.57421875" style="0" customWidth="1"/>
    <col min="9" max="9" width="6.421875" style="0" customWidth="1"/>
    <col min="10" max="10" width="6.8515625" style="0" customWidth="1"/>
    <col min="11" max="12" width="7.00390625" style="0" customWidth="1"/>
    <col min="15" max="15" width="14.28125" style="0" customWidth="1"/>
    <col min="16" max="16" width="9.8515625" style="0" customWidth="1"/>
    <col min="17" max="17" width="7.57421875" style="0" customWidth="1"/>
    <col min="18" max="18" width="8.00390625" style="0" customWidth="1"/>
    <col min="19" max="19" width="7.7109375" style="0" customWidth="1"/>
    <col min="20" max="20" width="14.7109375" style="0" customWidth="1"/>
    <col min="21" max="21" width="6.8515625" style="0" customWidth="1"/>
    <col min="22" max="22" width="7.28125" style="0" customWidth="1"/>
    <col min="23" max="23" width="8.00390625" style="0" customWidth="1"/>
    <col min="24" max="25" width="7.28125" style="0" customWidth="1"/>
    <col min="28" max="28" width="14.8515625" style="0" customWidth="1"/>
    <col min="29" max="29" width="9.57421875" style="0" customWidth="1"/>
    <col min="30" max="31" width="7.00390625" style="0" customWidth="1"/>
    <col min="32" max="32" width="6.140625" style="0" customWidth="1"/>
    <col min="33" max="33" width="14.57421875" style="0" customWidth="1"/>
    <col min="34" max="34" width="6.421875" style="0" customWidth="1"/>
    <col min="35" max="36" width="6.8515625" style="0" customWidth="1"/>
    <col min="37" max="37" width="7.00390625" style="0" customWidth="1"/>
    <col min="38" max="38" width="7.421875" style="0" customWidth="1"/>
    <col min="41" max="41" width="15.28125" style="0" customWidth="1"/>
    <col min="43" max="43" width="7.140625" style="0" customWidth="1"/>
    <col min="44" max="44" width="7.00390625" style="0" customWidth="1"/>
    <col min="45" max="45" width="7.28125" style="0" customWidth="1"/>
    <col min="46" max="46" width="14.57421875" style="0" customWidth="1"/>
    <col min="47" max="47" width="6.421875" style="0" customWidth="1"/>
    <col min="48" max="49" width="6.8515625" style="0" customWidth="1"/>
    <col min="50" max="50" width="7.00390625" style="0" customWidth="1"/>
    <col min="51" max="51" width="7.421875" style="0" customWidth="1"/>
    <col min="54" max="54" width="14.7109375" style="0" customWidth="1"/>
    <col min="56" max="56" width="7.140625" style="0" customWidth="1"/>
    <col min="57" max="57" width="7.00390625" style="0" customWidth="1"/>
    <col min="58" max="58" width="6.421875" style="0" customWidth="1"/>
    <col min="59" max="59" width="14.57421875" style="0" customWidth="1"/>
    <col min="60" max="60" width="6.421875" style="0" customWidth="1"/>
    <col min="61" max="62" width="6.8515625" style="0" customWidth="1"/>
    <col min="63" max="63" width="7.00390625" style="0" customWidth="1"/>
    <col min="64" max="64" width="7.421875" style="0" customWidth="1"/>
  </cols>
  <sheetData>
    <row r="1" s="79" customFormat="1" ht="15">
      <c r="B1" s="80" t="s">
        <v>172</v>
      </c>
    </row>
    <row r="2" spans="2:18" s="81" customFormat="1" ht="12.75">
      <c r="B2" s="81" t="s">
        <v>47</v>
      </c>
      <c r="Q2" s="82"/>
      <c r="R2" s="82"/>
    </row>
    <row r="3" spans="2:18" s="81" customFormat="1" ht="12.75">
      <c r="B3" s="81" t="s">
        <v>147</v>
      </c>
      <c r="Q3" s="82"/>
      <c r="R3" s="82"/>
    </row>
    <row r="4" spans="2:18" s="81" customFormat="1" ht="12.75">
      <c r="B4" s="83" t="s">
        <v>129</v>
      </c>
      <c r="C4"/>
      <c r="Q4" s="82"/>
      <c r="R4" s="82"/>
    </row>
    <row r="5" spans="2:18" s="81" customFormat="1" ht="12.75">
      <c r="B5" s="83" t="s">
        <v>164</v>
      </c>
      <c r="C5"/>
      <c r="Q5" s="82"/>
      <c r="R5" s="82"/>
    </row>
    <row r="6" spans="2:18" s="81" customFormat="1" ht="12.75">
      <c r="B6" s="83" t="s">
        <v>165</v>
      </c>
      <c r="C6"/>
      <c r="Q6" s="82"/>
      <c r="R6" s="82"/>
    </row>
    <row r="7" spans="2:18" s="81" customFormat="1" ht="12.75">
      <c r="B7" s="81" t="s">
        <v>166</v>
      </c>
      <c r="C7"/>
      <c r="Q7" s="82"/>
      <c r="R7" s="82"/>
    </row>
    <row r="8" spans="2:18" s="81" customFormat="1" ht="12.75">
      <c r="B8" s="81" t="s">
        <v>130</v>
      </c>
      <c r="C8"/>
      <c r="Q8" s="82"/>
      <c r="R8" s="82"/>
    </row>
    <row r="9" spans="2:18" s="81" customFormat="1" ht="12.75">
      <c r="B9" t="s">
        <v>48</v>
      </c>
      <c r="C9"/>
      <c r="Q9" s="82"/>
      <c r="R9" s="82"/>
    </row>
    <row r="10" spans="2:18" s="81" customFormat="1" ht="12.75">
      <c r="B10" s="119" t="s">
        <v>89</v>
      </c>
      <c r="C10"/>
      <c r="Q10" s="82"/>
      <c r="R10" s="82"/>
    </row>
    <row r="11" spans="2:18" s="81" customFormat="1" ht="12.75">
      <c r="B11" s="83" t="s">
        <v>173</v>
      </c>
      <c r="C11"/>
      <c r="Q11" s="82"/>
      <c r="R11" s="82"/>
    </row>
    <row r="12" spans="2:18" s="81" customFormat="1" ht="12.75">
      <c r="B12" s="83" t="s">
        <v>86</v>
      </c>
      <c r="C12"/>
      <c r="Q12" s="82"/>
      <c r="R12" s="82"/>
    </row>
    <row r="13" spans="2:18" s="81" customFormat="1" ht="12.75" customHeight="1">
      <c r="B13" s="83" t="s">
        <v>88</v>
      </c>
      <c r="C13"/>
      <c r="Q13" s="82"/>
      <c r="R13" s="82"/>
    </row>
    <row r="14" ht="12" customHeight="1">
      <c r="B14" s="83" t="s">
        <v>87</v>
      </c>
    </row>
    <row r="15" spans="2:18" s="81" customFormat="1" ht="12.75">
      <c r="B15" s="83" t="s">
        <v>132</v>
      </c>
      <c r="C15"/>
      <c r="Q15" s="82"/>
      <c r="R15" s="82"/>
    </row>
    <row r="16" spans="2:18" s="81" customFormat="1" ht="12.75">
      <c r="B16" s="83" t="s">
        <v>131</v>
      </c>
      <c r="C16"/>
      <c r="Q16" s="82"/>
      <c r="R16" s="82"/>
    </row>
    <row r="17" spans="2:18" s="81" customFormat="1" ht="12.75">
      <c r="B17" s="83" t="s">
        <v>140</v>
      </c>
      <c r="C17"/>
      <c r="Q17" s="82"/>
      <c r="R17" s="82"/>
    </row>
    <row r="18" spans="2:18" s="81" customFormat="1" ht="12.75">
      <c r="B18" s="288" t="s">
        <v>141</v>
      </c>
      <c r="C18" s="288"/>
      <c r="D18" s="288"/>
      <c r="Q18" s="82"/>
      <c r="R18" s="82"/>
    </row>
    <row r="19" spans="2:31" ht="15" customHeight="1">
      <c r="B19" s="297" t="s">
        <v>187</v>
      </c>
      <c r="AE19" s="1"/>
    </row>
    <row r="20" spans="2:6" ht="17.25" customHeight="1">
      <c r="B20" s="73"/>
      <c r="C20" s="73"/>
      <c r="D20" s="74" t="s">
        <v>107</v>
      </c>
      <c r="E20" s="129">
        <v>90</v>
      </c>
      <c r="F20" s="73" t="s">
        <v>16</v>
      </c>
    </row>
    <row r="21" spans="2:6" ht="12" customHeight="1">
      <c r="B21" s="13"/>
      <c r="C21" s="13"/>
      <c r="D21" s="152"/>
      <c r="E21" s="153"/>
      <c r="F21" s="13"/>
    </row>
    <row r="22" spans="2:64" ht="31.5" customHeight="1">
      <c r="B22" s="289" t="s">
        <v>6</v>
      </c>
      <c r="C22" s="290"/>
      <c r="D22" s="291" t="s">
        <v>149</v>
      </c>
      <c r="E22" s="291"/>
      <c r="F22" s="291"/>
      <c r="G22" s="184"/>
      <c r="H22" s="184"/>
      <c r="I22" s="291" t="s">
        <v>148</v>
      </c>
      <c r="J22" s="291"/>
      <c r="K22" s="291"/>
      <c r="L22" s="291"/>
      <c r="O22" s="289" t="s">
        <v>10</v>
      </c>
      <c r="P22" s="290"/>
      <c r="Q22" s="291" t="s">
        <v>149</v>
      </c>
      <c r="R22" s="291"/>
      <c r="S22" s="291"/>
      <c r="T22" s="184"/>
      <c r="U22" s="184"/>
      <c r="V22" s="291" t="s">
        <v>148</v>
      </c>
      <c r="W22" s="291"/>
      <c r="X22" s="291"/>
      <c r="Y22" s="291"/>
      <c r="AB22" s="289" t="s">
        <v>124</v>
      </c>
      <c r="AC22" s="290"/>
      <c r="AD22" s="291" t="s">
        <v>149</v>
      </c>
      <c r="AE22" s="291"/>
      <c r="AF22" s="291"/>
      <c r="AG22" s="184"/>
      <c r="AH22" s="184"/>
      <c r="AI22" s="291" t="s">
        <v>148</v>
      </c>
      <c r="AJ22" s="291"/>
      <c r="AK22" s="291"/>
      <c r="AL22" s="291"/>
      <c r="AO22" s="289" t="s">
        <v>110</v>
      </c>
      <c r="AP22" s="290"/>
      <c r="AQ22" s="291" t="s">
        <v>149</v>
      </c>
      <c r="AR22" s="291"/>
      <c r="AS22" s="291"/>
      <c r="AT22" s="184"/>
      <c r="AU22" s="184"/>
      <c r="AV22" s="291" t="s">
        <v>148</v>
      </c>
      <c r="AW22" s="291"/>
      <c r="AX22" s="291"/>
      <c r="AY22" s="291"/>
      <c r="BB22" s="289" t="s">
        <v>128</v>
      </c>
      <c r="BC22" s="290"/>
      <c r="BD22" s="291" t="s">
        <v>149</v>
      </c>
      <c r="BE22" s="291"/>
      <c r="BF22" s="291"/>
      <c r="BG22" s="184"/>
      <c r="BH22" s="184"/>
      <c r="BI22" s="291" t="s">
        <v>148</v>
      </c>
      <c r="BJ22" s="291"/>
      <c r="BK22" s="291"/>
      <c r="BL22" s="291"/>
    </row>
    <row r="23" spans="2:64" ht="38.25">
      <c r="B23" s="66" t="s">
        <v>39</v>
      </c>
      <c r="C23" s="66" t="s">
        <v>0</v>
      </c>
      <c r="D23" s="296" t="s">
        <v>7</v>
      </c>
      <c r="E23" s="296" t="s">
        <v>8</v>
      </c>
      <c r="F23" s="296" t="s">
        <v>9</v>
      </c>
      <c r="G23" s="154" t="s">
        <v>108</v>
      </c>
      <c r="H23" s="154" t="s">
        <v>108</v>
      </c>
      <c r="I23" s="4" t="str">
        <f>CONCATENATE(E23,"-",D23)</f>
        <v>Post1-Pre</v>
      </c>
      <c r="J23" s="4" t="str">
        <f>CONCATENATE(F23,"-",D23)</f>
        <v>Post2-Pre</v>
      </c>
      <c r="K23" s="4" t="str">
        <f>CONCATENATE(F23,"-",E23)</f>
        <v>Post2-Post1</v>
      </c>
      <c r="L23" s="4" t="s">
        <v>42</v>
      </c>
      <c r="O23" s="66" t="str">
        <f aca="true" t="shared" si="0" ref="O23:Y23">B23</f>
        <v>Group</v>
      </c>
      <c r="P23" s="66" t="str">
        <f t="shared" si="0"/>
        <v>Name</v>
      </c>
      <c r="Q23" s="4" t="str">
        <f t="shared" si="0"/>
        <v>Pre</v>
      </c>
      <c r="R23" s="4" t="str">
        <f t="shared" si="0"/>
        <v>Post1</v>
      </c>
      <c r="S23" s="4" t="str">
        <f t="shared" si="0"/>
        <v>Post2</v>
      </c>
      <c r="T23" s="154" t="str">
        <f t="shared" si="0"/>
        <v>read
me</v>
      </c>
      <c r="U23" s="154" t="str">
        <f t="shared" si="0"/>
        <v>read
me</v>
      </c>
      <c r="V23" s="4" t="str">
        <f t="shared" si="0"/>
        <v>Post1-Pre</v>
      </c>
      <c r="W23" s="4" t="str">
        <f t="shared" si="0"/>
        <v>Post2-Pre</v>
      </c>
      <c r="X23" s="4" t="str">
        <f t="shared" si="0"/>
        <v>Post2-Post1</v>
      </c>
      <c r="Y23" s="4" t="str">
        <f t="shared" si="0"/>
        <v>other effect</v>
      </c>
      <c r="AB23" s="66" t="str">
        <f aca="true" t="shared" si="1" ref="AB23:AL23">O23</f>
        <v>Group</v>
      </c>
      <c r="AC23" s="66" t="str">
        <f t="shared" si="1"/>
        <v>Name</v>
      </c>
      <c r="AD23" s="4" t="str">
        <f t="shared" si="1"/>
        <v>Pre</v>
      </c>
      <c r="AE23" s="4" t="str">
        <f t="shared" si="1"/>
        <v>Post1</v>
      </c>
      <c r="AF23" s="4" t="str">
        <f t="shared" si="1"/>
        <v>Post2</v>
      </c>
      <c r="AG23" s="154" t="str">
        <f t="shared" si="1"/>
        <v>read
me</v>
      </c>
      <c r="AH23" s="154" t="str">
        <f t="shared" si="1"/>
        <v>read
me</v>
      </c>
      <c r="AI23" s="4" t="str">
        <f t="shared" si="1"/>
        <v>Post1-Pre</v>
      </c>
      <c r="AJ23" s="4" t="str">
        <f t="shared" si="1"/>
        <v>Post2-Pre</v>
      </c>
      <c r="AK23" s="4" t="str">
        <f t="shared" si="1"/>
        <v>Post2-Post1</v>
      </c>
      <c r="AL23" s="4" t="str">
        <f t="shared" si="1"/>
        <v>other effect</v>
      </c>
      <c r="AO23" s="66" t="str">
        <f aca="true" t="shared" si="2" ref="AO23:AY23">AB23</f>
        <v>Group</v>
      </c>
      <c r="AP23" s="66" t="str">
        <f t="shared" si="2"/>
        <v>Name</v>
      </c>
      <c r="AQ23" s="4" t="str">
        <f t="shared" si="2"/>
        <v>Pre</v>
      </c>
      <c r="AR23" s="4" t="str">
        <f t="shared" si="2"/>
        <v>Post1</v>
      </c>
      <c r="AS23" s="4" t="str">
        <f t="shared" si="2"/>
        <v>Post2</v>
      </c>
      <c r="AT23" s="154" t="str">
        <f t="shared" si="2"/>
        <v>read
me</v>
      </c>
      <c r="AU23" s="154" t="str">
        <f t="shared" si="2"/>
        <v>read
me</v>
      </c>
      <c r="AV23" s="4" t="str">
        <f t="shared" si="2"/>
        <v>Post1-Pre</v>
      </c>
      <c r="AW23" s="4" t="str">
        <f t="shared" si="2"/>
        <v>Post2-Pre</v>
      </c>
      <c r="AX23" s="4" t="str">
        <f t="shared" si="2"/>
        <v>Post2-Post1</v>
      </c>
      <c r="AY23" s="4" t="str">
        <f t="shared" si="2"/>
        <v>other effect</v>
      </c>
      <c r="BB23" s="66" t="str">
        <f aca="true" t="shared" si="3" ref="BB23:BL23">AO23</f>
        <v>Group</v>
      </c>
      <c r="BC23" s="66" t="str">
        <f t="shared" si="3"/>
        <v>Name</v>
      </c>
      <c r="BD23" s="4" t="str">
        <f t="shared" si="3"/>
        <v>Pre</v>
      </c>
      <c r="BE23" s="4" t="str">
        <f t="shared" si="3"/>
        <v>Post1</v>
      </c>
      <c r="BF23" s="4" t="str">
        <f t="shared" si="3"/>
        <v>Post2</v>
      </c>
      <c r="BG23" s="154" t="str">
        <f t="shared" si="3"/>
        <v>read
me</v>
      </c>
      <c r="BH23" s="154" t="str">
        <f t="shared" si="3"/>
        <v>read
me</v>
      </c>
      <c r="BI23" s="4" t="str">
        <f t="shared" si="3"/>
        <v>Post1-Pre</v>
      </c>
      <c r="BJ23" s="4" t="str">
        <f t="shared" si="3"/>
        <v>Post2-Pre</v>
      </c>
      <c r="BK23" s="4" t="str">
        <f t="shared" si="3"/>
        <v>Post2-Post1</v>
      </c>
      <c r="BL23" s="4" t="str">
        <f t="shared" si="3"/>
        <v>other effect</v>
      </c>
    </row>
    <row r="24" spans="2:64" ht="12.75">
      <c r="B24" s="116" t="s">
        <v>40</v>
      </c>
      <c r="C24" s="116" t="s">
        <v>75</v>
      </c>
      <c r="D24" s="22">
        <v>11.7</v>
      </c>
      <c r="E24" s="22">
        <v>10.7</v>
      </c>
      <c r="F24" s="22">
        <v>9.7</v>
      </c>
      <c r="H24" s="3"/>
      <c r="I24" s="5">
        <f aca="true" t="shared" si="4" ref="I24:I43">IF(AND(ISNUMBER(E24),ISNUMBER(D24)),E24-D24,"miss")</f>
        <v>-1</v>
      </c>
      <c r="J24" s="5">
        <f aca="true" t="shared" si="5" ref="J24:J43">IF(AND(ISNUMBER(F24),ISNUMBER(D24)),F24-D24,"miss")</f>
        <v>-2</v>
      </c>
      <c r="K24" s="5">
        <f aca="true" t="shared" si="6" ref="K24:K43">IF(AND(ISNUMBER(F24),ISNUMBER(E24)),F24-E24,"miss")</f>
        <v>-1</v>
      </c>
      <c r="L24" s="5"/>
      <c r="O24" s="68" t="str">
        <f>B24</f>
        <v>Control</v>
      </c>
      <c r="P24" s="69" t="str">
        <f>C24</f>
        <v>Al</v>
      </c>
      <c r="Q24" s="5">
        <f aca="true" t="shared" si="7" ref="Q24:Q43">IF(ISERROR(100*LN(D24)),"miss",100*LN(D24))</f>
        <v>245.95888418037103</v>
      </c>
      <c r="R24" s="5">
        <f aca="true" t="shared" si="8" ref="R24:R43">IF(ISERROR(100*LN(E24)),"miss",100*LN(E24))</f>
        <v>237.02437414678604</v>
      </c>
      <c r="S24" s="5">
        <f aca="true" t="shared" si="9" ref="S24:S43">IF(ISERROR(100*LN(F24)),"miss",100*LN(F24))</f>
        <v>227.2125885509337</v>
      </c>
      <c r="T24" s="5"/>
      <c r="U24" s="5"/>
      <c r="V24" s="5">
        <f>IF(AND(ISNUMBER(R24),ISNUMBER(Q24)),R24-Q24,"miss")</f>
        <v>-8.934510033584985</v>
      </c>
      <c r="W24" s="5">
        <f>IF(AND(ISNUMBER(S24),ISNUMBER(Q24)),S24-Q24,"miss")</f>
        <v>-18.746295629437327</v>
      </c>
      <c r="X24" s="5">
        <f>IF(AND(ISNUMBER(S24),ISNUMBER(R24)),S24-R24,"miss")</f>
        <v>-9.811785595852342</v>
      </c>
      <c r="Y24" s="5"/>
      <c r="AB24" s="68" t="str">
        <f>O24</f>
        <v>Control</v>
      </c>
      <c r="AC24" s="69" t="str">
        <f>P24</f>
        <v>Al</v>
      </c>
      <c r="AD24" s="58">
        <f>IF(ISNUMBER(D24),RANK(D24,allraw,1)/$D$81*100,"miss")</f>
        <v>45.378151260504204</v>
      </c>
      <c r="AE24" s="58">
        <f aca="true" t="shared" si="10" ref="AE24:AF39">IF(ISNUMBER(E24),RANK(E24,allraw,1)/$D$81*100,"miss")</f>
        <v>31.092436974789916</v>
      </c>
      <c r="AF24" s="58">
        <f t="shared" si="10"/>
        <v>17.647058823529413</v>
      </c>
      <c r="AG24" s="3"/>
      <c r="AH24" s="3"/>
      <c r="AI24" s="58">
        <f>IF(AND(ISNUMBER(AE24),ISNUMBER(AD24)),AE24-AD24,"miss")</f>
        <v>-14.285714285714288</v>
      </c>
      <c r="AJ24" s="58">
        <f>IF(AND(ISNUMBER(AF24),ISNUMBER(AD24)),AF24-AD24,"miss")</f>
        <v>-27.73109243697479</v>
      </c>
      <c r="AK24" s="58">
        <f>IF(AND(ISNUMBER(AF24),ISNUMBER(AE24)),AF24-AE24,"miss")</f>
        <v>-13.445378151260503</v>
      </c>
      <c r="AL24" s="58"/>
      <c r="AO24" s="68" t="str">
        <f>AB24</f>
        <v>Control</v>
      </c>
      <c r="AP24" s="69" t="str">
        <f>AC24</f>
        <v>Al</v>
      </c>
      <c r="AQ24" s="5">
        <f aca="true" t="shared" si="11" ref="AQ24:AS25">IF(ISNUMBER(D24),SQRT(D24),"miss")</f>
        <v>3.420526275297414</v>
      </c>
      <c r="AR24" s="5">
        <f t="shared" si="11"/>
        <v>3.271085446759225</v>
      </c>
      <c r="AS24" s="5">
        <f t="shared" si="11"/>
        <v>3.1144823004794873</v>
      </c>
      <c r="AT24" s="3"/>
      <c r="AU24" s="3"/>
      <c r="AV24" s="5">
        <f>IF(AND(ISNUMBER(AR24),ISNUMBER(AQ24)),AR24-AQ24,"miss")</f>
        <v>-0.14944082853818896</v>
      </c>
      <c r="AW24" s="5">
        <f>IF(AND(ISNUMBER(AS24),ISNUMBER(AQ24)),AS24-AQ24,"miss")</f>
        <v>-0.30604397481792667</v>
      </c>
      <c r="AX24" s="5">
        <f>IF(AND(ISNUMBER(AS24),ISNUMBER(AR24)),AS24-AR24,"miss")</f>
        <v>-0.1566031462797377</v>
      </c>
      <c r="AY24" s="5"/>
      <c r="BB24" s="68" t="str">
        <f>AO24</f>
        <v>Control</v>
      </c>
      <c r="BC24" s="69" t="str">
        <f>AP24</f>
        <v>Al</v>
      </c>
      <c r="BD24" s="156">
        <f>IF(ISNUMBER(Q24),ASIN(SQRT(D24/100)),"miss")</f>
        <v>0.3491004195842809</v>
      </c>
      <c r="BE24" s="156">
        <f aca="true" t="shared" si="12" ref="BE24:BF39">IF(ISNUMBER(R24),ASIN(SQRT(E24/100)),"miss")</f>
        <v>0.3332421643537312</v>
      </c>
      <c r="BF24" s="156">
        <f t="shared" si="12"/>
        <v>0.31671668316461954</v>
      </c>
      <c r="BG24" s="3"/>
      <c r="BH24" s="3"/>
      <c r="BI24" s="157">
        <f>IF(AND(ISNUMBER(BE24),ISNUMBER(BD24)),BE24-BD24,"miss")</f>
        <v>-0.015858255230549678</v>
      </c>
      <c r="BJ24" s="157">
        <f>IF(AND(ISNUMBER(BF24),ISNUMBER(BD24)),BF24-BD24,"miss")</f>
        <v>-0.03238373641966136</v>
      </c>
      <c r="BK24" s="157">
        <f>IF(AND(ISNUMBER(BF24),ISNUMBER(BE24)),BF24-BE24,"miss")</f>
        <v>-0.01652548118911168</v>
      </c>
      <c r="BL24" s="5"/>
    </row>
    <row r="25" spans="2:64" ht="12.75">
      <c r="B25" s="68" t="str">
        <f>B24</f>
        <v>Control</v>
      </c>
      <c r="C25" s="116" t="s">
        <v>69</v>
      </c>
      <c r="D25" s="22">
        <v>12.8</v>
      </c>
      <c r="E25" s="22">
        <v>11.8</v>
      </c>
      <c r="F25" s="22" t="s">
        <v>17</v>
      </c>
      <c r="H25" s="3"/>
      <c r="I25" s="5">
        <f>IF(AND(ISNUMBER(E25),ISNUMBER(D25)),E25-D25,"miss")</f>
        <v>-1</v>
      </c>
      <c r="J25" s="5" t="str">
        <f>IF(AND(ISNUMBER(F25),ISNUMBER(D25)),F25-D25,"miss")</f>
        <v>miss</v>
      </c>
      <c r="K25" s="5" t="str">
        <f>IF(AND(ISNUMBER(F25),ISNUMBER(E25)),F25-E25,"miss")</f>
        <v>miss</v>
      </c>
      <c r="L25" s="5"/>
      <c r="O25" s="68" t="str">
        <f>B25</f>
        <v>Control</v>
      </c>
      <c r="P25" s="69" t="str">
        <f>C25</f>
        <v>Alex</v>
      </c>
      <c r="Q25" s="5">
        <f>IF(ISERROR(100*LN(D25)),"miss",100*LN(D25))</f>
        <v>254.94451709255713</v>
      </c>
      <c r="R25" s="5">
        <f>IF(ISERROR(100*LN(E25)),"miss",100*LN(E25))</f>
        <v>246.80995314716193</v>
      </c>
      <c r="S25" s="5" t="str">
        <f>IF(ISERROR(100*LN(F25)),"miss",100*LN(F25))</f>
        <v>miss</v>
      </c>
      <c r="T25" s="5"/>
      <c r="U25" s="5"/>
      <c r="V25" s="5">
        <f>IF(AND(ISNUMBER(R25),ISNUMBER(Q25)),R25-Q25,"miss")</f>
        <v>-8.1345639453952</v>
      </c>
      <c r="W25" s="5" t="str">
        <f>IF(AND(ISNUMBER(S25),ISNUMBER(Q25)),S25-Q25,"miss")</f>
        <v>miss</v>
      </c>
      <c r="X25" s="5" t="str">
        <f>IF(AND(ISNUMBER(S25),ISNUMBER(R25)),S25-R25,"miss")</f>
        <v>miss</v>
      </c>
      <c r="Y25" s="5"/>
      <c r="AB25" s="68" t="str">
        <f>O25</f>
        <v>Control</v>
      </c>
      <c r="AC25" s="69" t="str">
        <f>P25</f>
        <v>Alex</v>
      </c>
      <c r="AD25" s="58">
        <f aca="true" t="shared" si="13" ref="AD25:AD43">IF(ISNUMBER(D25),RANK(D25,allraw,1)/$D$81*100,"miss")</f>
        <v>65.54621848739495</v>
      </c>
      <c r="AE25" s="58">
        <f t="shared" si="10"/>
        <v>47.05882352941176</v>
      </c>
      <c r="AF25" s="58" t="str">
        <f t="shared" si="10"/>
        <v>miss</v>
      </c>
      <c r="AG25" s="3"/>
      <c r="AH25" s="3"/>
      <c r="AI25" s="58">
        <f>IF(AND(ISNUMBER(AE25),ISNUMBER(AD25)),AE25-AD25,"miss")</f>
        <v>-18.48739495798319</v>
      </c>
      <c r="AJ25" s="58" t="str">
        <f>IF(AND(ISNUMBER(AF25),ISNUMBER(AD25)),AF25-AD25,"miss")</f>
        <v>miss</v>
      </c>
      <c r="AK25" s="58" t="str">
        <f>IF(AND(ISNUMBER(AF25),ISNUMBER(AE25)),AF25-AE25,"miss")</f>
        <v>miss</v>
      </c>
      <c r="AL25" s="58"/>
      <c r="AO25" s="68" t="str">
        <f>AB25</f>
        <v>Control</v>
      </c>
      <c r="AP25" s="69" t="str">
        <f>AC25</f>
        <v>Alex</v>
      </c>
      <c r="AQ25" s="5">
        <f t="shared" si="11"/>
        <v>3.5777087639996634</v>
      </c>
      <c r="AR25" s="5">
        <f t="shared" si="11"/>
        <v>3.4351128074635335</v>
      </c>
      <c r="AS25" s="5" t="str">
        <f t="shared" si="11"/>
        <v>miss</v>
      </c>
      <c r="AT25" s="3"/>
      <c r="AU25" s="3"/>
      <c r="AV25" s="5">
        <f>IF(AND(ISNUMBER(AR25),ISNUMBER(AQ25)),AR25-AQ25,"miss")</f>
        <v>-0.1425959565361299</v>
      </c>
      <c r="AW25" s="5" t="str">
        <f>IF(AND(ISNUMBER(AS25),ISNUMBER(AQ25)),AS25-AQ25,"miss")</f>
        <v>miss</v>
      </c>
      <c r="AX25" s="5" t="str">
        <f>IF(AND(ISNUMBER(AS25),ISNUMBER(AR25)),AS25-AR25,"miss")</f>
        <v>miss</v>
      </c>
      <c r="AY25" s="5"/>
      <c r="BB25" s="68" t="str">
        <f aca="true" t="shared" si="14" ref="BB25:BB43">AO25</f>
        <v>Control</v>
      </c>
      <c r="BC25" s="69" t="str">
        <f aca="true" t="shared" si="15" ref="BC25:BC43">AP25</f>
        <v>Alex</v>
      </c>
      <c r="BD25" s="156">
        <f aca="true" t="shared" si="16" ref="BD25:BD43">IF(ISNUMBER(Q25),ASIN(SQRT(D25/100)),"miss")</f>
        <v>0.36587966945081696</v>
      </c>
      <c r="BE25" s="156">
        <f t="shared" si="12"/>
        <v>0.3506531448762882</v>
      </c>
      <c r="BF25" s="156" t="str">
        <f t="shared" si="12"/>
        <v>miss</v>
      </c>
      <c r="BG25" s="3"/>
      <c r="BH25" s="3"/>
      <c r="BI25" s="157">
        <f>IF(AND(ISNUMBER(BE25),ISNUMBER(BD25)),BE25-BD25,"miss")</f>
        <v>-0.015226524574528777</v>
      </c>
      <c r="BJ25" s="157" t="str">
        <f>IF(AND(ISNUMBER(BF25),ISNUMBER(BD25)),BF25-BD25,"miss")</f>
        <v>miss</v>
      </c>
      <c r="BK25" s="157" t="str">
        <f>IF(AND(ISNUMBER(BF25),ISNUMBER(BE25)),BF25-BE25,"miss")</f>
        <v>miss</v>
      </c>
      <c r="BL25" s="5"/>
    </row>
    <row r="26" spans="2:64" ht="12.75">
      <c r="B26" s="68" t="str">
        <f aca="true" t="shared" si="17" ref="B26:B42">B25</f>
        <v>Control</v>
      </c>
      <c r="C26" s="116" t="s">
        <v>49</v>
      </c>
      <c r="D26" s="22">
        <v>11.8</v>
      </c>
      <c r="E26" s="22">
        <v>12.7</v>
      </c>
      <c r="F26" s="22">
        <v>12.1</v>
      </c>
      <c r="H26" s="3"/>
      <c r="I26" s="5">
        <f t="shared" si="4"/>
        <v>0.8999999999999986</v>
      </c>
      <c r="J26" s="5">
        <f t="shared" si="5"/>
        <v>0.29999999999999893</v>
      </c>
      <c r="K26" s="5">
        <f t="shared" si="6"/>
        <v>-0.5999999999999996</v>
      </c>
      <c r="L26" s="5"/>
      <c r="O26" s="68" t="str">
        <f aca="true" t="shared" si="18" ref="O26:O43">B26</f>
        <v>Control</v>
      </c>
      <c r="P26" s="69" t="str">
        <f aca="true" t="shared" si="19" ref="P26:P42">C26</f>
        <v>Alison</v>
      </c>
      <c r="Q26" s="5">
        <f t="shared" si="7"/>
        <v>246.80995314716193</v>
      </c>
      <c r="R26" s="5">
        <f t="shared" si="8"/>
        <v>254.16019934645456</v>
      </c>
      <c r="S26" s="5">
        <f t="shared" si="9"/>
        <v>249.32054526026954</v>
      </c>
      <c r="T26" s="5"/>
      <c r="U26" s="5"/>
      <c r="V26" s="5">
        <f>IF(AND(ISNUMBER(R26),ISNUMBER(Q26)),R26-Q26,"miss")</f>
        <v>7.350246199292627</v>
      </c>
      <c r="W26" s="5">
        <f>IF(AND(ISNUMBER(S26),ISNUMBER(Q26)),S26-Q26,"miss")</f>
        <v>2.510592113107606</v>
      </c>
      <c r="X26" s="5">
        <f>IF(AND(ISNUMBER(S26),ISNUMBER(R26)),S26-R26,"miss")</f>
        <v>-4.839654086185021</v>
      </c>
      <c r="Y26" s="5"/>
      <c r="AB26" s="68" t="str">
        <f aca="true" t="shared" si="20" ref="AB26:AB43">O26</f>
        <v>Control</v>
      </c>
      <c r="AC26" s="69" t="str">
        <f aca="true" t="shared" si="21" ref="AC26:AC43">P26</f>
        <v>Alison</v>
      </c>
      <c r="AD26" s="58">
        <f t="shared" si="13"/>
        <v>47.05882352941176</v>
      </c>
      <c r="AE26" s="58">
        <f t="shared" si="10"/>
        <v>63.86554621848739</v>
      </c>
      <c r="AF26" s="58">
        <f t="shared" si="10"/>
        <v>53.78151260504202</v>
      </c>
      <c r="AG26" s="3"/>
      <c r="AH26" s="3"/>
      <c r="AI26" s="58">
        <f>IF(AND(ISNUMBER(AE26),ISNUMBER(AD26)),AE26-AD26,"miss")</f>
        <v>16.806722689075627</v>
      </c>
      <c r="AJ26" s="58">
        <f>IF(AND(ISNUMBER(AF26),ISNUMBER(AD26)),AF26-AD26,"miss")</f>
        <v>6.722689075630257</v>
      </c>
      <c r="AK26" s="58">
        <f>IF(AND(ISNUMBER(AF26),ISNUMBER(AE26)),AF26-AE26,"miss")</f>
        <v>-10.08403361344537</v>
      </c>
      <c r="AL26" s="58"/>
      <c r="AO26" s="68" t="str">
        <f aca="true" t="shared" si="22" ref="AO26:AO43">AB26</f>
        <v>Control</v>
      </c>
      <c r="AP26" s="69" t="str">
        <f aca="true" t="shared" si="23" ref="AP26:AP42">AC26</f>
        <v>Alison</v>
      </c>
      <c r="AQ26" s="5">
        <f aca="true" t="shared" si="24" ref="AQ26:AQ43">IF(ISNUMBER(D26),SQRT(D26),"miss")</f>
        <v>3.4351128074635335</v>
      </c>
      <c r="AR26" s="5">
        <f>IF(ISNUMBER(E26),SQRT(E26),"miss")</f>
        <v>3.5637059362410923</v>
      </c>
      <c r="AS26" s="5">
        <f>IF(ISNUMBER(F26),SQRT(F26),"miss")</f>
        <v>3.478505426185217</v>
      </c>
      <c r="AT26" s="3"/>
      <c r="AU26" s="3"/>
      <c r="AV26" s="5">
        <f>IF(AND(ISNUMBER(AR26),ISNUMBER(AQ26)),AR26-AQ26,"miss")</f>
        <v>0.1285931287775588</v>
      </c>
      <c r="AW26" s="5">
        <f>IF(AND(ISNUMBER(AS26),ISNUMBER(AQ26)),AS26-AQ26,"miss")</f>
        <v>0.04339261872168354</v>
      </c>
      <c r="AX26" s="5">
        <f>IF(AND(ISNUMBER(AS26),ISNUMBER(AR26)),AS26-AR26,"miss")</f>
        <v>-0.08520051005587526</v>
      </c>
      <c r="AY26" s="5"/>
      <c r="BB26" s="68" t="str">
        <f t="shared" si="14"/>
        <v>Control</v>
      </c>
      <c r="BC26" s="69" t="str">
        <f t="shared" si="15"/>
        <v>Alison</v>
      </c>
      <c r="BD26" s="156">
        <f t="shared" si="16"/>
        <v>0.3506531448762882</v>
      </c>
      <c r="BE26" s="156">
        <f t="shared" si="12"/>
        <v>0.3643805612999323</v>
      </c>
      <c r="BF26" s="156">
        <f t="shared" si="12"/>
        <v>0.35527749346034315</v>
      </c>
      <c r="BG26" s="3"/>
      <c r="BH26" s="3"/>
      <c r="BI26" s="157">
        <f>IF(AND(ISNUMBER(BE26),ISNUMBER(BD26)),BE26-BD26,"miss")</f>
        <v>0.013727416423644112</v>
      </c>
      <c r="BJ26" s="157">
        <f>IF(AND(ISNUMBER(BF26),ISNUMBER(BD26)),BF26-BD26,"miss")</f>
        <v>0.004624348584054971</v>
      </c>
      <c r="BK26" s="157">
        <f>IF(AND(ISNUMBER(BF26),ISNUMBER(BE26)),BF26-BE26,"miss")</f>
        <v>-0.00910306783958914</v>
      </c>
      <c r="BL26" s="5"/>
    </row>
    <row r="27" spans="2:64" ht="12.75">
      <c r="B27" s="68" t="str">
        <f t="shared" si="17"/>
        <v>Control</v>
      </c>
      <c r="C27" s="116" t="s">
        <v>50</v>
      </c>
      <c r="D27" s="22">
        <v>16.3</v>
      </c>
      <c r="E27" s="22">
        <v>15.9</v>
      </c>
      <c r="F27" s="22">
        <v>13.6</v>
      </c>
      <c r="H27" s="3"/>
      <c r="I27" s="5">
        <f t="shared" si="4"/>
        <v>-0.40000000000000036</v>
      </c>
      <c r="J27" s="5">
        <f t="shared" si="5"/>
        <v>-2.700000000000001</v>
      </c>
      <c r="K27" s="5">
        <f t="shared" si="6"/>
        <v>-2.3000000000000007</v>
      </c>
      <c r="L27" s="5"/>
      <c r="O27" s="68" t="str">
        <f t="shared" si="18"/>
        <v>Control</v>
      </c>
      <c r="P27" s="69" t="str">
        <f t="shared" si="19"/>
        <v>Bailey</v>
      </c>
      <c r="Q27" s="5">
        <f t="shared" si="7"/>
        <v>279.1165107812717</v>
      </c>
      <c r="R27" s="5">
        <f t="shared" si="8"/>
        <v>276.6319109226186</v>
      </c>
      <c r="S27" s="5">
        <f t="shared" si="9"/>
        <v>261.00697927420066</v>
      </c>
      <c r="T27" s="5"/>
      <c r="U27" s="5"/>
      <c r="V27" s="5">
        <f aca="true" t="shared" si="25" ref="V27:V43">IF(AND(ISNUMBER(R27),ISNUMBER(Q27)),R27-Q27,"miss")</f>
        <v>-2.484599858653098</v>
      </c>
      <c r="W27" s="5">
        <f aca="true" t="shared" si="26" ref="W27:W43">IF(AND(ISNUMBER(S27),ISNUMBER(Q27)),S27-Q27,"miss")</f>
        <v>-18.10953150707104</v>
      </c>
      <c r="X27" s="5">
        <f aca="true" t="shared" si="27" ref="X27:X43">IF(AND(ISNUMBER(S27),ISNUMBER(R27)),S27-R27,"miss")</f>
        <v>-15.624931648417942</v>
      </c>
      <c r="Y27" s="5"/>
      <c r="AB27" s="68" t="str">
        <f t="shared" si="20"/>
        <v>Control</v>
      </c>
      <c r="AC27" s="69" t="str">
        <f t="shared" si="21"/>
        <v>Bailey</v>
      </c>
      <c r="AD27" s="58">
        <f t="shared" si="13"/>
        <v>97.47899159663865</v>
      </c>
      <c r="AE27" s="58">
        <f t="shared" si="10"/>
        <v>95.7983193277311</v>
      </c>
      <c r="AF27" s="58">
        <f t="shared" si="10"/>
        <v>78.99159663865547</v>
      </c>
      <c r="AG27" s="3"/>
      <c r="AH27" s="3"/>
      <c r="AI27" s="58">
        <f aca="true" t="shared" si="28" ref="AI27:AI43">IF(AND(ISNUMBER(AE27),ISNUMBER(AD27)),AE27-AD27,"miss")</f>
        <v>-1.680672268907557</v>
      </c>
      <c r="AJ27" s="58">
        <f aca="true" t="shared" si="29" ref="AJ27:AJ43">IF(AND(ISNUMBER(AF27),ISNUMBER(AD27)),AF27-AD27,"miss")</f>
        <v>-18.487394957983184</v>
      </c>
      <c r="AK27" s="58">
        <f aca="true" t="shared" si="30" ref="AK27:AK43">IF(AND(ISNUMBER(AF27),ISNUMBER(AE27)),AF27-AE27,"miss")</f>
        <v>-16.806722689075627</v>
      </c>
      <c r="AL27" s="58"/>
      <c r="AO27" s="68" t="str">
        <f t="shared" si="22"/>
        <v>Control</v>
      </c>
      <c r="AP27" s="69" t="str">
        <f t="shared" si="23"/>
        <v>Bailey</v>
      </c>
      <c r="AQ27" s="5">
        <f t="shared" si="24"/>
        <v>4.03732584763727</v>
      </c>
      <c r="AR27" s="5">
        <f aca="true" t="shared" si="31" ref="AR27:AR43">IF(ISNUMBER(E27),SQRT(E27),"miss")</f>
        <v>3.987480407475377</v>
      </c>
      <c r="AS27" s="5">
        <f aca="true" t="shared" si="32" ref="AS27:AS43">IF(ISNUMBER(F27),SQRT(F27),"miss")</f>
        <v>3.687817782917155</v>
      </c>
      <c r="AT27" s="3"/>
      <c r="AU27" s="3"/>
      <c r="AV27" s="5">
        <f aca="true" t="shared" si="33" ref="AV27:AV43">IF(AND(ISNUMBER(AR27),ISNUMBER(AQ27)),AR27-AQ27,"miss")</f>
        <v>-0.04984544016189263</v>
      </c>
      <c r="AW27" s="5">
        <f aca="true" t="shared" si="34" ref="AW27:AW43">IF(AND(ISNUMBER(AS27),ISNUMBER(AQ27)),AS27-AQ27,"miss")</f>
        <v>-0.34950806472011475</v>
      </c>
      <c r="AX27" s="5">
        <f aca="true" t="shared" si="35" ref="AX27:AX43">IF(AND(ISNUMBER(AS27),ISNUMBER(AR27)),AS27-AR27,"miss")</f>
        <v>-0.2996626245582221</v>
      </c>
      <c r="AY27" s="5"/>
      <c r="BB27" s="68" t="str">
        <f t="shared" si="14"/>
        <v>Control</v>
      </c>
      <c r="BC27" s="69" t="str">
        <f t="shared" si="15"/>
        <v>Bailey</v>
      </c>
      <c r="BD27" s="156">
        <f t="shared" si="16"/>
        <v>0.4155930670281511</v>
      </c>
      <c r="BE27" s="156">
        <f t="shared" si="12"/>
        <v>0.4101512530517051</v>
      </c>
      <c r="BF27" s="156">
        <f t="shared" si="12"/>
        <v>0.3776980815186813</v>
      </c>
      <c r="BG27" s="3"/>
      <c r="BH27" s="3"/>
      <c r="BI27" s="157">
        <f aca="true" t="shared" si="36" ref="BI27:BI43">IF(AND(ISNUMBER(BE27),ISNUMBER(BD27)),BE27-BD27,"miss")</f>
        <v>-0.005441813976445997</v>
      </c>
      <c r="BJ27" s="157">
        <f aca="true" t="shared" si="37" ref="BJ27:BJ43">IF(AND(ISNUMBER(BF27),ISNUMBER(BD27)),BF27-BD27,"miss")</f>
        <v>-0.03789498550946979</v>
      </c>
      <c r="BK27" s="157">
        <f aca="true" t="shared" si="38" ref="BK27:BK43">IF(AND(ISNUMBER(BF27),ISNUMBER(BE27)),BF27-BE27,"miss")</f>
        <v>-0.032453171533023795</v>
      </c>
      <c r="BL27" s="5"/>
    </row>
    <row r="28" spans="2:64" ht="12.75">
      <c r="B28" s="68" t="str">
        <f t="shared" si="17"/>
        <v>Control</v>
      </c>
      <c r="C28" s="116" t="s">
        <v>51</v>
      </c>
      <c r="D28" s="22">
        <v>13.1</v>
      </c>
      <c r="E28" s="22">
        <v>13.3</v>
      </c>
      <c r="F28" s="22">
        <v>12.4</v>
      </c>
      <c r="H28" s="3"/>
      <c r="I28" s="5">
        <f t="shared" si="4"/>
        <v>0.20000000000000107</v>
      </c>
      <c r="J28" s="5">
        <f t="shared" si="5"/>
        <v>-0.6999999999999993</v>
      </c>
      <c r="K28" s="5">
        <f t="shared" si="6"/>
        <v>-0.9000000000000004</v>
      </c>
      <c r="L28" s="5"/>
      <c r="O28" s="68" t="str">
        <f t="shared" si="18"/>
        <v>Control</v>
      </c>
      <c r="P28" s="69" t="str">
        <f t="shared" si="19"/>
        <v>Chris</v>
      </c>
      <c r="Q28" s="5">
        <f t="shared" si="7"/>
        <v>257.2612230207106</v>
      </c>
      <c r="R28" s="5">
        <f t="shared" si="8"/>
        <v>258.7764035227708</v>
      </c>
      <c r="S28" s="5">
        <f t="shared" si="9"/>
        <v>251.76964726109912</v>
      </c>
      <c r="T28" s="5"/>
      <c r="U28" s="5"/>
      <c r="V28" s="5">
        <f t="shared" si="25"/>
        <v>1.5151805020602183</v>
      </c>
      <c r="W28" s="5">
        <f t="shared" si="26"/>
        <v>-5.4915757596114645</v>
      </c>
      <c r="X28" s="5">
        <f t="shared" si="27"/>
        <v>-7.006756261671683</v>
      </c>
      <c r="Y28" s="5"/>
      <c r="AB28" s="68" t="str">
        <f t="shared" si="20"/>
        <v>Control</v>
      </c>
      <c r="AC28" s="69" t="str">
        <f t="shared" si="21"/>
        <v>Chris</v>
      </c>
      <c r="AD28" s="58">
        <f t="shared" si="13"/>
        <v>70.58823529411765</v>
      </c>
      <c r="AE28" s="58">
        <f t="shared" si="10"/>
        <v>73.94957983193278</v>
      </c>
      <c r="AF28" s="58">
        <f t="shared" si="10"/>
        <v>58.82352941176471</v>
      </c>
      <c r="AG28" s="3"/>
      <c r="AH28" s="3"/>
      <c r="AI28" s="58">
        <f t="shared" si="28"/>
        <v>3.3613445378151283</v>
      </c>
      <c r="AJ28" s="58">
        <f t="shared" si="29"/>
        <v>-11.764705882352942</v>
      </c>
      <c r="AK28" s="58">
        <f t="shared" si="30"/>
        <v>-15.12605042016807</v>
      </c>
      <c r="AL28" s="58"/>
      <c r="AO28" s="68" t="str">
        <f t="shared" si="22"/>
        <v>Control</v>
      </c>
      <c r="AP28" s="69" t="str">
        <f t="shared" si="23"/>
        <v>Chris</v>
      </c>
      <c r="AQ28" s="5">
        <f t="shared" si="24"/>
        <v>3.6193922141707713</v>
      </c>
      <c r="AR28" s="5">
        <f t="shared" si="31"/>
        <v>3.646916505762094</v>
      </c>
      <c r="AS28" s="5">
        <f t="shared" si="32"/>
        <v>3.521363372331802</v>
      </c>
      <c r="AT28" s="3"/>
      <c r="AU28" s="3"/>
      <c r="AV28" s="5">
        <f t="shared" si="33"/>
        <v>0.027524291591322747</v>
      </c>
      <c r="AW28" s="5">
        <f t="shared" si="34"/>
        <v>-0.09802884183896943</v>
      </c>
      <c r="AX28" s="5">
        <f t="shared" si="35"/>
        <v>-0.12555313343029217</v>
      </c>
      <c r="AY28" s="5"/>
      <c r="BB28" s="68" t="str">
        <f t="shared" si="14"/>
        <v>Control</v>
      </c>
      <c r="BC28" s="69" t="str">
        <f t="shared" si="15"/>
        <v>Chris</v>
      </c>
      <c r="BD28" s="156">
        <f t="shared" si="16"/>
        <v>0.3703473149967888</v>
      </c>
      <c r="BE28" s="156">
        <f t="shared" si="12"/>
        <v>0.37330162485513574</v>
      </c>
      <c r="BF28" s="156">
        <f t="shared" si="12"/>
        <v>0.3598526630123081</v>
      </c>
      <c r="BG28" s="3"/>
      <c r="BH28" s="3"/>
      <c r="BI28" s="157">
        <f t="shared" si="36"/>
        <v>0.0029543098583469374</v>
      </c>
      <c r="BJ28" s="157">
        <f t="shared" si="37"/>
        <v>-0.010494651984480685</v>
      </c>
      <c r="BK28" s="157">
        <f t="shared" si="38"/>
        <v>-0.013448961842827623</v>
      </c>
      <c r="BL28" s="5"/>
    </row>
    <row r="29" spans="2:64" ht="12.75">
      <c r="B29" s="68" t="str">
        <f t="shared" si="17"/>
        <v>Control</v>
      </c>
      <c r="C29" s="116" t="s">
        <v>52</v>
      </c>
      <c r="D29" s="22">
        <v>14.4</v>
      </c>
      <c r="E29" s="22">
        <v>13.6</v>
      </c>
      <c r="F29" s="22">
        <v>14</v>
      </c>
      <c r="H29" s="3"/>
      <c r="I29" s="5">
        <f t="shared" si="4"/>
        <v>-0.8000000000000007</v>
      </c>
      <c r="J29" s="5">
        <f t="shared" si="5"/>
        <v>-0.40000000000000036</v>
      </c>
      <c r="K29" s="5">
        <f t="shared" si="6"/>
        <v>0.40000000000000036</v>
      </c>
      <c r="L29" s="5"/>
      <c r="O29" s="68" t="str">
        <f t="shared" si="18"/>
        <v>Control</v>
      </c>
      <c r="P29" s="70" t="str">
        <f t="shared" si="19"/>
        <v>Courtney</v>
      </c>
      <c r="Q29" s="5">
        <f t="shared" si="7"/>
        <v>266.7228206581955</v>
      </c>
      <c r="R29" s="5">
        <f t="shared" si="8"/>
        <v>261.00697927420066</v>
      </c>
      <c r="S29" s="5">
        <f t="shared" si="9"/>
        <v>263.9057329615258</v>
      </c>
      <c r="T29" s="5"/>
      <c r="U29" s="5"/>
      <c r="V29" s="5">
        <f t="shared" si="25"/>
        <v>-5.715841383994814</v>
      </c>
      <c r="W29" s="5">
        <f t="shared" si="26"/>
        <v>-2.8170876966696596</v>
      </c>
      <c r="X29" s="5">
        <f t="shared" si="27"/>
        <v>2.8987536873251543</v>
      </c>
      <c r="Y29" s="5"/>
      <c r="AB29" s="68" t="str">
        <f t="shared" si="20"/>
        <v>Control</v>
      </c>
      <c r="AC29" s="70" t="str">
        <f t="shared" si="21"/>
        <v>Courtney</v>
      </c>
      <c r="AD29" s="58">
        <f t="shared" si="13"/>
        <v>91.59663865546219</v>
      </c>
      <c r="AE29" s="58">
        <f t="shared" si="10"/>
        <v>78.99159663865547</v>
      </c>
      <c r="AF29" s="58">
        <f t="shared" si="10"/>
        <v>87.39495798319328</v>
      </c>
      <c r="AG29" s="3"/>
      <c r="AH29" s="3"/>
      <c r="AI29" s="58">
        <f t="shared" si="28"/>
        <v>-12.60504201680672</v>
      </c>
      <c r="AJ29" s="58">
        <f t="shared" si="29"/>
        <v>-4.201680672268907</v>
      </c>
      <c r="AK29" s="58">
        <f t="shared" si="30"/>
        <v>8.403361344537814</v>
      </c>
      <c r="AL29" s="58"/>
      <c r="AO29" s="68" t="str">
        <f t="shared" si="22"/>
        <v>Control</v>
      </c>
      <c r="AP29" s="70" t="str">
        <f t="shared" si="23"/>
        <v>Courtney</v>
      </c>
      <c r="AQ29" s="5">
        <f t="shared" si="24"/>
        <v>3.794733192202055</v>
      </c>
      <c r="AR29" s="5">
        <f t="shared" si="31"/>
        <v>3.687817782917155</v>
      </c>
      <c r="AS29" s="5">
        <f t="shared" si="32"/>
        <v>3.7416573867739413</v>
      </c>
      <c r="AT29" s="3"/>
      <c r="AU29" s="3"/>
      <c r="AV29" s="5">
        <f t="shared" si="33"/>
        <v>-0.10691540928490006</v>
      </c>
      <c r="AW29" s="5">
        <f t="shared" si="34"/>
        <v>-0.05307580542811374</v>
      </c>
      <c r="AX29" s="5">
        <f t="shared" si="35"/>
        <v>0.05383960385678632</v>
      </c>
      <c r="AY29" s="5"/>
      <c r="BB29" s="68" t="str">
        <f t="shared" si="14"/>
        <v>Control</v>
      </c>
      <c r="BC29" s="70" t="str">
        <f t="shared" si="15"/>
        <v>Courtney</v>
      </c>
      <c r="BD29" s="156">
        <f t="shared" si="16"/>
        <v>0.38922697007780904</v>
      </c>
      <c r="BE29" s="156">
        <f t="shared" si="12"/>
        <v>0.3776980815186813</v>
      </c>
      <c r="BF29" s="156">
        <f t="shared" si="12"/>
        <v>0.38349700393093333</v>
      </c>
      <c r="BG29" s="3"/>
      <c r="BH29" s="3"/>
      <c r="BI29" s="157">
        <f t="shared" si="36"/>
        <v>-0.011528888559127759</v>
      </c>
      <c r="BJ29" s="157">
        <f t="shared" si="37"/>
        <v>-0.005729966146875709</v>
      </c>
      <c r="BK29" s="157">
        <f t="shared" si="38"/>
        <v>0.00579892241225205</v>
      </c>
      <c r="BL29" s="5"/>
    </row>
    <row r="30" spans="2:64" ht="12.75">
      <c r="B30" s="68" t="str">
        <f t="shared" si="17"/>
        <v>Control</v>
      </c>
      <c r="C30" s="117" t="s">
        <v>82</v>
      </c>
      <c r="D30" s="22">
        <v>10.3</v>
      </c>
      <c r="E30" s="22">
        <v>10.7</v>
      </c>
      <c r="F30" s="22">
        <v>10.5</v>
      </c>
      <c r="H30" s="3"/>
      <c r="I30" s="5">
        <f>IF(AND(ISNUMBER(E30),ISNUMBER(D30)),E30-D30,"miss")</f>
        <v>0.3999999999999986</v>
      </c>
      <c r="J30" s="5">
        <f>IF(AND(ISNUMBER(F30),ISNUMBER(D30)),F30-D30,"miss")</f>
        <v>0.1999999999999993</v>
      </c>
      <c r="K30" s="5">
        <f>IF(AND(ISNUMBER(F30),ISNUMBER(E30)),F30-E30,"miss")</f>
        <v>-0.1999999999999993</v>
      </c>
      <c r="L30" s="5"/>
      <c r="O30" s="68" t="str">
        <f>B30</f>
        <v>Control</v>
      </c>
      <c r="P30" s="70" t="str">
        <f>C30</f>
        <v>Danny</v>
      </c>
      <c r="Q30" s="5">
        <f>IF(ISERROR(100*LN(D30)),"miss",100*LN(D30))</f>
        <v>233.214389523559</v>
      </c>
      <c r="R30" s="5">
        <f>IF(ISERROR(100*LN(E30)),"miss",100*LN(E30))</f>
        <v>237.02437414678604</v>
      </c>
      <c r="S30" s="5">
        <f>IF(ISERROR(100*LN(F30)),"miss",100*LN(F30))</f>
        <v>235.13752571634777</v>
      </c>
      <c r="T30" s="5"/>
      <c r="U30" s="5"/>
      <c r="V30" s="5">
        <f>IF(AND(ISNUMBER(R30),ISNUMBER(Q30)),R30-Q30,"miss")</f>
        <v>3.8099846232270522</v>
      </c>
      <c r="W30" s="5">
        <f>IF(AND(ISNUMBER(S30),ISNUMBER(Q30)),S30-Q30,"miss")</f>
        <v>1.9231361927887747</v>
      </c>
      <c r="X30" s="5">
        <f>IF(AND(ISNUMBER(S30),ISNUMBER(R30)),S30-R30,"miss")</f>
        <v>-1.8868484304382775</v>
      </c>
      <c r="Y30" s="5"/>
      <c r="AB30" s="68" t="str">
        <f>O30</f>
        <v>Control</v>
      </c>
      <c r="AC30" s="70" t="str">
        <f>P30</f>
        <v>Danny</v>
      </c>
      <c r="AD30" s="58">
        <f t="shared" si="13"/>
        <v>26.05042016806723</v>
      </c>
      <c r="AE30" s="58">
        <f t="shared" si="10"/>
        <v>31.092436974789916</v>
      </c>
      <c r="AF30" s="58">
        <f t="shared" si="10"/>
        <v>30.252100840336134</v>
      </c>
      <c r="AG30" s="3"/>
      <c r="AH30" s="3"/>
      <c r="AI30" s="58">
        <f>IF(AND(ISNUMBER(AE30),ISNUMBER(AD30)),AE30-AD30,"miss")</f>
        <v>5.042016806722685</v>
      </c>
      <c r="AJ30" s="58">
        <f>IF(AND(ISNUMBER(AF30),ISNUMBER(AD30)),AF30-AD30,"miss")</f>
        <v>4.201680672268903</v>
      </c>
      <c r="AK30" s="58">
        <f>IF(AND(ISNUMBER(AF30),ISNUMBER(AE30)),AF30-AE30,"miss")</f>
        <v>-0.8403361344537821</v>
      </c>
      <c r="AL30" s="58"/>
      <c r="AO30" s="68" t="str">
        <f>AB30</f>
        <v>Control</v>
      </c>
      <c r="AP30" s="70" t="str">
        <f>AC30</f>
        <v>Danny</v>
      </c>
      <c r="AQ30" s="5">
        <f t="shared" si="24"/>
        <v>3.2093613071762426</v>
      </c>
      <c r="AR30" s="5">
        <f t="shared" si="31"/>
        <v>3.271085446759225</v>
      </c>
      <c r="AS30" s="5">
        <f t="shared" si="32"/>
        <v>3.24037034920393</v>
      </c>
      <c r="AT30" s="3"/>
      <c r="AU30" s="3"/>
      <c r="AV30" s="5">
        <f>IF(AND(ISNUMBER(AR30),ISNUMBER(AQ30)),AR30-AQ30,"miss")</f>
        <v>0.061724139582982396</v>
      </c>
      <c r="AW30" s="5">
        <f>IF(AND(ISNUMBER(AS30),ISNUMBER(AQ30)),AS30-AQ30,"miss")</f>
        <v>0.031009042027687617</v>
      </c>
      <c r="AX30" s="5">
        <f>IF(AND(ISNUMBER(AS30),ISNUMBER(AR30)),AS30-AR30,"miss")</f>
        <v>-0.03071509755529478</v>
      </c>
      <c r="AY30" s="5"/>
      <c r="BB30" s="68" t="str">
        <f t="shared" si="14"/>
        <v>Control</v>
      </c>
      <c r="BC30" s="70" t="str">
        <f t="shared" si="15"/>
        <v>Danny</v>
      </c>
      <c r="BD30" s="156">
        <f t="shared" si="16"/>
        <v>0.3267177391377737</v>
      </c>
      <c r="BE30" s="156">
        <f t="shared" si="12"/>
        <v>0.3332421643537312</v>
      </c>
      <c r="BF30" s="156">
        <f t="shared" si="12"/>
        <v>0.3299936646937492</v>
      </c>
      <c r="BG30" s="3"/>
      <c r="BH30" s="3"/>
      <c r="BI30" s="157">
        <f t="shared" si="36"/>
        <v>0.00652442521595753</v>
      </c>
      <c r="BJ30" s="157">
        <f t="shared" si="37"/>
        <v>0.0032759255559755007</v>
      </c>
      <c r="BK30" s="157">
        <f t="shared" si="38"/>
        <v>-0.0032484996599820293</v>
      </c>
      <c r="BL30" s="5"/>
    </row>
    <row r="31" spans="2:64" ht="12.75">
      <c r="B31" s="68" t="str">
        <f t="shared" si="17"/>
        <v>Control</v>
      </c>
      <c r="C31" s="117" t="s">
        <v>53</v>
      </c>
      <c r="D31" s="22">
        <v>9.9</v>
      </c>
      <c r="E31" s="22">
        <v>10.7</v>
      </c>
      <c r="F31" s="22">
        <v>10.2</v>
      </c>
      <c r="H31" s="3"/>
      <c r="I31" s="5">
        <f t="shared" si="4"/>
        <v>0.7999999999999989</v>
      </c>
      <c r="J31" s="5">
        <f t="shared" si="5"/>
        <v>0.29999999999999893</v>
      </c>
      <c r="K31" s="5">
        <f t="shared" si="6"/>
        <v>-0.5</v>
      </c>
      <c r="L31" s="5"/>
      <c r="O31" s="68" t="str">
        <f t="shared" si="18"/>
        <v>Control</v>
      </c>
      <c r="P31" s="70" t="str">
        <f t="shared" si="19"/>
        <v>Devin</v>
      </c>
      <c r="Q31" s="5">
        <f t="shared" si="7"/>
        <v>229.25347571405445</v>
      </c>
      <c r="R31" s="5">
        <f t="shared" si="8"/>
        <v>237.02437414678604</v>
      </c>
      <c r="S31" s="5">
        <f t="shared" si="9"/>
        <v>232.23877202902253</v>
      </c>
      <c r="T31" s="5"/>
      <c r="U31" s="5"/>
      <c r="V31" s="5">
        <f t="shared" si="25"/>
        <v>7.770898432731599</v>
      </c>
      <c r="W31" s="5">
        <f t="shared" si="26"/>
        <v>2.985296314968082</v>
      </c>
      <c r="X31" s="5">
        <f t="shared" si="27"/>
        <v>-4.785602117763517</v>
      </c>
      <c r="Y31" s="5"/>
      <c r="AB31" s="68" t="str">
        <f t="shared" si="20"/>
        <v>Control</v>
      </c>
      <c r="AC31" s="70" t="str">
        <f t="shared" si="21"/>
        <v>Devin</v>
      </c>
      <c r="AD31" s="58">
        <f t="shared" si="13"/>
        <v>21.84873949579832</v>
      </c>
      <c r="AE31" s="58">
        <f t="shared" si="10"/>
        <v>31.092436974789916</v>
      </c>
      <c r="AF31" s="58">
        <f t="shared" si="10"/>
        <v>24.369747899159663</v>
      </c>
      <c r="AG31" s="3"/>
      <c r="AH31" s="3"/>
      <c r="AI31" s="58">
        <f t="shared" si="28"/>
        <v>9.243697478991596</v>
      </c>
      <c r="AJ31" s="58">
        <f t="shared" si="29"/>
        <v>2.5210084033613427</v>
      </c>
      <c r="AK31" s="58">
        <f t="shared" si="30"/>
        <v>-6.722689075630253</v>
      </c>
      <c r="AL31" s="58"/>
      <c r="AO31" s="68" t="str">
        <f t="shared" si="22"/>
        <v>Control</v>
      </c>
      <c r="AP31" s="70" t="str">
        <f t="shared" si="23"/>
        <v>Devin</v>
      </c>
      <c r="AQ31" s="5">
        <f t="shared" si="24"/>
        <v>3.146426544510455</v>
      </c>
      <c r="AR31" s="5">
        <f t="shared" si="31"/>
        <v>3.271085446759225</v>
      </c>
      <c r="AS31" s="5">
        <f t="shared" si="32"/>
        <v>3.1937438845342623</v>
      </c>
      <c r="AT31" s="3"/>
      <c r="AU31" s="3"/>
      <c r="AV31" s="5">
        <f t="shared" si="33"/>
        <v>0.12465890224877008</v>
      </c>
      <c r="AW31" s="5">
        <f t="shared" si="34"/>
        <v>0.047317340023807386</v>
      </c>
      <c r="AX31" s="5">
        <f t="shared" si="35"/>
        <v>-0.07734156222496269</v>
      </c>
      <c r="AY31" s="5"/>
      <c r="BB31" s="68" t="str">
        <f t="shared" si="14"/>
        <v>Control</v>
      </c>
      <c r="BC31" s="70" t="str">
        <f t="shared" si="15"/>
        <v>Devin</v>
      </c>
      <c r="BD31" s="156">
        <f t="shared" si="16"/>
        <v>0.3200801643557677</v>
      </c>
      <c r="BE31" s="156">
        <f t="shared" si="12"/>
        <v>0.3332421643537312</v>
      </c>
      <c r="BF31" s="156">
        <f t="shared" si="12"/>
        <v>0.325069227363818</v>
      </c>
      <c r="BG31" s="3"/>
      <c r="BH31" s="3"/>
      <c r="BI31" s="157">
        <f t="shared" si="36"/>
        <v>0.013161999997963525</v>
      </c>
      <c r="BJ31" s="157">
        <f t="shared" si="37"/>
        <v>0.0049890630080502985</v>
      </c>
      <c r="BK31" s="157">
        <f t="shared" si="38"/>
        <v>-0.008172936989913226</v>
      </c>
      <c r="BL31" s="5"/>
    </row>
    <row r="32" spans="2:64" ht="12.75">
      <c r="B32" s="68" t="str">
        <f t="shared" si="17"/>
        <v>Control</v>
      </c>
      <c r="C32" s="117" t="s">
        <v>54</v>
      </c>
      <c r="D32" s="22">
        <v>8.9</v>
      </c>
      <c r="E32" s="22">
        <v>9.2</v>
      </c>
      <c r="F32" s="22">
        <v>9.4</v>
      </c>
      <c r="H32" s="3"/>
      <c r="I32" s="5">
        <f t="shared" si="4"/>
        <v>0.29999999999999893</v>
      </c>
      <c r="J32" s="5">
        <f t="shared" si="5"/>
        <v>0.5</v>
      </c>
      <c r="K32" s="5">
        <f t="shared" si="6"/>
        <v>0.20000000000000107</v>
      </c>
      <c r="L32" s="5"/>
      <c r="O32" s="68" t="str">
        <f t="shared" si="18"/>
        <v>Control</v>
      </c>
      <c r="P32" s="70" t="str">
        <f t="shared" si="19"/>
        <v>Drew</v>
      </c>
      <c r="Q32" s="5">
        <f t="shared" si="7"/>
        <v>218.60512767380942</v>
      </c>
      <c r="R32" s="5">
        <f t="shared" si="8"/>
        <v>221.92034840549945</v>
      </c>
      <c r="S32" s="5">
        <f t="shared" si="9"/>
        <v>224.07096892759583</v>
      </c>
      <c r="T32" s="5"/>
      <c r="U32" s="5"/>
      <c r="V32" s="5">
        <f t="shared" si="25"/>
        <v>3.315220731690033</v>
      </c>
      <c r="W32" s="5">
        <f t="shared" si="26"/>
        <v>5.465841253786408</v>
      </c>
      <c r="X32" s="5">
        <f t="shared" si="27"/>
        <v>2.150620522096375</v>
      </c>
      <c r="Y32" s="5"/>
      <c r="AB32" s="68" t="str">
        <f t="shared" si="20"/>
        <v>Control</v>
      </c>
      <c r="AC32" s="70" t="str">
        <f t="shared" si="21"/>
        <v>Drew</v>
      </c>
      <c r="AD32" s="58">
        <f t="shared" si="13"/>
        <v>7.563025210084033</v>
      </c>
      <c r="AE32" s="58">
        <f t="shared" si="10"/>
        <v>11.76470588235294</v>
      </c>
      <c r="AF32" s="58">
        <f t="shared" si="10"/>
        <v>15.126050420168067</v>
      </c>
      <c r="AG32" s="3"/>
      <c r="AH32" s="3"/>
      <c r="AI32" s="58">
        <f t="shared" si="28"/>
        <v>4.201680672268907</v>
      </c>
      <c r="AJ32" s="58">
        <f t="shared" si="29"/>
        <v>7.563025210084033</v>
      </c>
      <c r="AK32" s="58">
        <f t="shared" si="30"/>
        <v>3.3613445378151265</v>
      </c>
      <c r="AL32" s="58"/>
      <c r="AO32" s="68" t="str">
        <f t="shared" si="22"/>
        <v>Control</v>
      </c>
      <c r="AP32" s="70" t="str">
        <f t="shared" si="23"/>
        <v>Drew</v>
      </c>
      <c r="AQ32" s="5">
        <f t="shared" si="24"/>
        <v>2.9832867780352594</v>
      </c>
      <c r="AR32" s="5">
        <f t="shared" si="31"/>
        <v>3.03315017762062</v>
      </c>
      <c r="AS32" s="5">
        <f t="shared" si="32"/>
        <v>3.0659419433511785</v>
      </c>
      <c r="AT32" s="3"/>
      <c r="AU32" s="3"/>
      <c r="AV32" s="5">
        <f t="shared" si="33"/>
        <v>0.04986339958536057</v>
      </c>
      <c r="AW32" s="5">
        <f t="shared" si="34"/>
        <v>0.0826551653159191</v>
      </c>
      <c r="AX32" s="5">
        <f t="shared" si="35"/>
        <v>0.03279176573055853</v>
      </c>
      <c r="AY32" s="5"/>
      <c r="BB32" s="68" t="str">
        <f t="shared" si="14"/>
        <v>Control</v>
      </c>
      <c r="BC32" s="70" t="str">
        <f t="shared" si="15"/>
        <v>Drew</v>
      </c>
      <c r="BD32" s="156">
        <f t="shared" si="16"/>
        <v>0.3029411138077166</v>
      </c>
      <c r="BE32" s="156">
        <f t="shared" si="12"/>
        <v>0.3081696448532098</v>
      </c>
      <c r="BF32" s="156">
        <f t="shared" si="12"/>
        <v>0.3116128333286751</v>
      </c>
      <c r="BG32" s="3"/>
      <c r="BH32" s="3"/>
      <c r="BI32" s="157">
        <f t="shared" si="36"/>
        <v>0.005228531045493201</v>
      </c>
      <c r="BJ32" s="157">
        <f t="shared" si="37"/>
        <v>0.00867171952095852</v>
      </c>
      <c r="BK32" s="157">
        <f t="shared" si="38"/>
        <v>0.0034431884754653197</v>
      </c>
      <c r="BL32" s="5"/>
    </row>
    <row r="33" spans="2:64" ht="12.75">
      <c r="B33" s="68" t="str">
        <f t="shared" si="17"/>
        <v>Control</v>
      </c>
      <c r="C33" s="117" t="s">
        <v>79</v>
      </c>
      <c r="D33" s="22">
        <v>11</v>
      </c>
      <c r="E33" s="22">
        <v>11.6</v>
      </c>
      <c r="F33" s="22">
        <v>10.8</v>
      </c>
      <c r="H33" s="3"/>
      <c r="I33" s="5">
        <f>IF(AND(ISNUMBER(E33),ISNUMBER(D33)),E33-D33,"miss")</f>
        <v>0.5999999999999996</v>
      </c>
      <c r="J33" s="5">
        <f>IF(AND(ISNUMBER(F33),ISNUMBER(D33)),F33-D33,"miss")</f>
        <v>-0.1999999999999993</v>
      </c>
      <c r="K33" s="5">
        <f>IF(AND(ISNUMBER(F33),ISNUMBER(E33)),F33-E33,"miss")</f>
        <v>-0.7999999999999989</v>
      </c>
      <c r="L33" s="5"/>
      <c r="O33" s="68" t="str">
        <f>B33</f>
        <v>Control</v>
      </c>
      <c r="P33" s="70" t="str">
        <f>C33</f>
        <v>Dylan</v>
      </c>
      <c r="Q33" s="5">
        <f aca="true" t="shared" si="39" ref="Q33:S34">IF(ISERROR(100*LN(D33)),"miss",100*LN(D33))</f>
        <v>239.78952727983707</v>
      </c>
      <c r="R33" s="5">
        <f t="shared" si="39"/>
        <v>245.10050981123192</v>
      </c>
      <c r="S33" s="5">
        <f t="shared" si="39"/>
        <v>237.9546134130174</v>
      </c>
      <c r="T33" s="5"/>
      <c r="U33" s="5"/>
      <c r="V33" s="5">
        <f>IF(AND(ISNUMBER(R33),ISNUMBER(Q33)),R33-Q33,"miss")</f>
        <v>5.310982531394842</v>
      </c>
      <c r="W33" s="5">
        <f>IF(AND(ISNUMBER(S33),ISNUMBER(Q33)),S33-Q33,"miss")</f>
        <v>-1.8349138668196758</v>
      </c>
      <c r="X33" s="5">
        <f>IF(AND(ISNUMBER(S33),ISNUMBER(R33)),S33-R33,"miss")</f>
        <v>-7.145896398214518</v>
      </c>
      <c r="Y33" s="5"/>
      <c r="AB33" s="68" t="str">
        <f>O33</f>
        <v>Control</v>
      </c>
      <c r="AC33" s="70" t="str">
        <f>P33</f>
        <v>Dylan</v>
      </c>
      <c r="AD33" s="58">
        <f t="shared" si="13"/>
        <v>36.97478991596639</v>
      </c>
      <c r="AE33" s="58">
        <f t="shared" si="10"/>
        <v>44.537815126050425</v>
      </c>
      <c r="AF33" s="58">
        <f t="shared" si="10"/>
        <v>34.45378151260504</v>
      </c>
      <c r="AG33" s="3"/>
      <c r="AH33" s="3"/>
      <c r="AI33" s="58">
        <f>IF(AND(ISNUMBER(AE33),ISNUMBER(AD33)),AE33-AD33,"miss")</f>
        <v>7.563025210084035</v>
      </c>
      <c r="AJ33" s="58">
        <f>IF(AND(ISNUMBER(AF33),ISNUMBER(AD33)),AF33-AD33,"miss")</f>
        <v>-2.52100840336135</v>
      </c>
      <c r="AK33" s="58">
        <f>IF(AND(ISNUMBER(AF33),ISNUMBER(AE33)),AF33-AE33,"miss")</f>
        <v>-10.084033613445385</v>
      </c>
      <c r="AL33" s="58"/>
      <c r="AO33" s="68" t="str">
        <f>AB33</f>
        <v>Control</v>
      </c>
      <c r="AP33" s="70" t="str">
        <f>AC33</f>
        <v>Dylan</v>
      </c>
      <c r="AQ33" s="5">
        <f t="shared" si="24"/>
        <v>3.3166247903554</v>
      </c>
      <c r="AR33" s="5">
        <f t="shared" si="31"/>
        <v>3.40587727318528</v>
      </c>
      <c r="AS33" s="5">
        <f t="shared" si="32"/>
        <v>3.286335345030997</v>
      </c>
      <c r="AT33" s="3"/>
      <c r="AU33" s="3"/>
      <c r="AV33" s="5">
        <f>IF(AND(ISNUMBER(AR33),ISNUMBER(AQ33)),AR33-AQ33,"miss")</f>
        <v>0.08925248282988019</v>
      </c>
      <c r="AW33" s="5">
        <f>IF(AND(ISNUMBER(AS33),ISNUMBER(AQ33)),AS33-AQ33,"miss")</f>
        <v>-0.03028944532440292</v>
      </c>
      <c r="AX33" s="5">
        <f>IF(AND(ISNUMBER(AS33),ISNUMBER(AR33)),AS33-AR33,"miss")</f>
        <v>-0.1195419281542831</v>
      </c>
      <c r="AY33" s="5"/>
      <c r="BB33" s="68" t="str">
        <f t="shared" si="14"/>
        <v>Control</v>
      </c>
      <c r="BC33" s="70" t="str">
        <f t="shared" si="15"/>
        <v>Dylan</v>
      </c>
      <c r="BD33" s="156">
        <f t="shared" si="16"/>
        <v>0.3380652547803307</v>
      </c>
      <c r="BE33" s="156">
        <f t="shared" si="12"/>
        <v>0.34754192716488624</v>
      </c>
      <c r="BF33" s="156">
        <f t="shared" si="12"/>
        <v>0.33485638447676247</v>
      </c>
      <c r="BG33" s="3"/>
      <c r="BH33" s="3"/>
      <c r="BI33" s="157">
        <f t="shared" si="36"/>
        <v>0.009476672384555518</v>
      </c>
      <c r="BJ33" s="157">
        <f t="shared" si="37"/>
        <v>-0.0032088703035682564</v>
      </c>
      <c r="BK33" s="157">
        <f t="shared" si="38"/>
        <v>-0.012685542688123774</v>
      </c>
      <c r="BL33" s="5"/>
    </row>
    <row r="34" spans="2:64" ht="12.75">
      <c r="B34" s="68" t="str">
        <f t="shared" si="17"/>
        <v>Control</v>
      </c>
      <c r="C34" s="117" t="s">
        <v>83</v>
      </c>
      <c r="D34" s="22">
        <v>9.3</v>
      </c>
      <c r="E34" s="22">
        <v>9.9</v>
      </c>
      <c r="F34" s="22">
        <v>8.9</v>
      </c>
      <c r="H34" s="3"/>
      <c r="I34" s="5">
        <f>IF(AND(ISNUMBER(E34),ISNUMBER(D34)),E34-D34,"miss")</f>
        <v>0.5999999999999996</v>
      </c>
      <c r="J34" s="5">
        <f>IF(AND(ISNUMBER(F34),ISNUMBER(D34)),F34-D34,"miss")</f>
        <v>-0.40000000000000036</v>
      </c>
      <c r="K34" s="5">
        <f>IF(AND(ISNUMBER(F34),ISNUMBER(E34)),F34-E34,"miss")</f>
        <v>-1</v>
      </c>
      <c r="L34" s="5"/>
      <c r="O34" s="68" t="str">
        <f>B34</f>
        <v>Control</v>
      </c>
      <c r="P34" s="70" t="str">
        <f>C34</f>
        <v>Eddie</v>
      </c>
      <c r="Q34" s="5">
        <f t="shared" si="39"/>
        <v>223.00144001592105</v>
      </c>
      <c r="R34" s="5">
        <f t="shared" si="39"/>
        <v>229.25347571405445</v>
      </c>
      <c r="S34" s="5">
        <f t="shared" si="39"/>
        <v>218.60512767380942</v>
      </c>
      <c r="T34" s="5"/>
      <c r="U34" s="5"/>
      <c r="V34" s="5">
        <f>IF(AND(ISNUMBER(R34),ISNUMBER(Q34)),R34-Q34,"miss")</f>
        <v>6.2520356981333975</v>
      </c>
      <c r="W34" s="5">
        <f>IF(AND(ISNUMBER(S34),ISNUMBER(Q34)),S34-Q34,"miss")</f>
        <v>-4.396312342111628</v>
      </c>
      <c r="X34" s="5">
        <f>IF(AND(ISNUMBER(S34),ISNUMBER(R34)),S34-R34,"miss")</f>
        <v>-10.648348040245025</v>
      </c>
      <c r="Y34" s="5"/>
      <c r="AB34" s="68" t="str">
        <f>O34</f>
        <v>Control</v>
      </c>
      <c r="AC34" s="70" t="str">
        <f>P34</f>
        <v>Eddie</v>
      </c>
      <c r="AD34" s="58">
        <f t="shared" si="13"/>
        <v>12.605042016806722</v>
      </c>
      <c r="AE34" s="58">
        <f t="shared" si="10"/>
        <v>21.84873949579832</v>
      </c>
      <c r="AF34" s="58">
        <f t="shared" si="10"/>
        <v>7.563025210084033</v>
      </c>
      <c r="AG34" s="3"/>
      <c r="AH34" s="3"/>
      <c r="AI34" s="58">
        <f>IF(AND(ISNUMBER(AE34),ISNUMBER(AD34)),AE34-AD34,"miss")</f>
        <v>9.243697478991598</v>
      </c>
      <c r="AJ34" s="58">
        <f>IF(AND(ISNUMBER(AF34),ISNUMBER(AD34)),AF34-AD34,"miss")</f>
        <v>-5.042016806722689</v>
      </c>
      <c r="AK34" s="58">
        <f>IF(AND(ISNUMBER(AF34),ISNUMBER(AE34)),AF34-AE34,"miss")</f>
        <v>-14.285714285714286</v>
      </c>
      <c r="AL34" s="58"/>
      <c r="AO34" s="68" t="str">
        <f>AB34</f>
        <v>Control</v>
      </c>
      <c r="AP34" s="70" t="str">
        <f>AC34</f>
        <v>Eddie</v>
      </c>
      <c r="AQ34" s="5">
        <f t="shared" si="24"/>
        <v>3.0495901363953815</v>
      </c>
      <c r="AR34" s="5">
        <f t="shared" si="31"/>
        <v>3.146426544510455</v>
      </c>
      <c r="AS34" s="5">
        <f t="shared" si="32"/>
        <v>2.9832867780352594</v>
      </c>
      <c r="AT34" s="3"/>
      <c r="AU34" s="3"/>
      <c r="AV34" s="5">
        <f>IF(AND(ISNUMBER(AR34),ISNUMBER(AQ34)),AR34-AQ34,"miss")</f>
        <v>0.09683640811507344</v>
      </c>
      <c r="AW34" s="5">
        <f>IF(AND(ISNUMBER(AS34),ISNUMBER(AQ34)),AS34-AQ34,"miss")</f>
        <v>-0.06630335836012202</v>
      </c>
      <c r="AX34" s="5">
        <f>IF(AND(ISNUMBER(AS34),ISNUMBER(AR34)),AS34-AR34,"miss")</f>
        <v>-0.16313976647519546</v>
      </c>
      <c r="AY34" s="5"/>
      <c r="BB34" s="68" t="str">
        <f t="shared" si="14"/>
        <v>Control</v>
      </c>
      <c r="BC34" s="70" t="str">
        <f t="shared" si="15"/>
        <v>Eddie</v>
      </c>
      <c r="BD34" s="156">
        <f t="shared" si="16"/>
        <v>0.30989539260385907</v>
      </c>
      <c r="BE34" s="156">
        <f t="shared" si="12"/>
        <v>0.3200801643557677</v>
      </c>
      <c r="BF34" s="156">
        <f t="shared" si="12"/>
        <v>0.3029411138077166</v>
      </c>
      <c r="BG34" s="3"/>
      <c r="BH34" s="3"/>
      <c r="BI34" s="157">
        <f t="shared" si="36"/>
        <v>0.010184771751908628</v>
      </c>
      <c r="BJ34" s="157">
        <f t="shared" si="37"/>
        <v>-0.006954278796142466</v>
      </c>
      <c r="BK34" s="157">
        <f t="shared" si="38"/>
        <v>-0.017139050548051094</v>
      </c>
      <c r="BL34" s="5"/>
    </row>
    <row r="35" spans="2:64" ht="12.75">
      <c r="B35" s="68" t="str">
        <f t="shared" si="17"/>
        <v>Control</v>
      </c>
      <c r="C35" s="117" t="s">
        <v>55</v>
      </c>
      <c r="D35" s="22">
        <v>11.5</v>
      </c>
      <c r="E35" s="22">
        <v>11.8</v>
      </c>
      <c r="F35" s="22">
        <v>11.5</v>
      </c>
      <c r="H35" s="3"/>
      <c r="I35" s="5">
        <f t="shared" si="4"/>
        <v>0.3000000000000007</v>
      </c>
      <c r="J35" s="5">
        <f t="shared" si="5"/>
        <v>0</v>
      </c>
      <c r="K35" s="5">
        <f t="shared" si="6"/>
        <v>-0.3000000000000007</v>
      </c>
      <c r="L35" s="5"/>
      <c r="O35" s="68" t="str">
        <f t="shared" si="18"/>
        <v>Control</v>
      </c>
      <c r="P35" s="70" t="str">
        <f t="shared" si="19"/>
        <v>Emlyn</v>
      </c>
      <c r="Q35" s="5">
        <f t="shared" si="7"/>
        <v>244.23470353692042</v>
      </c>
      <c r="R35" s="5">
        <f t="shared" si="8"/>
        <v>246.80995314716193</v>
      </c>
      <c r="S35" s="5">
        <f t="shared" si="9"/>
        <v>244.23470353692042</v>
      </c>
      <c r="T35" s="5"/>
      <c r="U35" s="5"/>
      <c r="V35" s="5">
        <f t="shared" si="25"/>
        <v>2.5752496102415137</v>
      </c>
      <c r="W35" s="5">
        <f t="shared" si="26"/>
        <v>0</v>
      </c>
      <c r="X35" s="5">
        <f t="shared" si="27"/>
        <v>-2.5752496102415137</v>
      </c>
      <c r="Y35" s="5"/>
      <c r="AB35" s="68" t="str">
        <f t="shared" si="20"/>
        <v>Control</v>
      </c>
      <c r="AC35" s="70" t="str">
        <f t="shared" si="21"/>
        <v>Emlyn</v>
      </c>
      <c r="AD35" s="58">
        <f t="shared" si="13"/>
        <v>42.857142857142854</v>
      </c>
      <c r="AE35" s="58">
        <f t="shared" si="10"/>
        <v>47.05882352941176</v>
      </c>
      <c r="AF35" s="58">
        <f t="shared" si="10"/>
        <v>42.857142857142854</v>
      </c>
      <c r="AG35" s="3"/>
      <c r="AH35" s="3"/>
      <c r="AI35" s="58">
        <f t="shared" si="28"/>
        <v>4.201680672268907</v>
      </c>
      <c r="AJ35" s="58">
        <f t="shared" si="29"/>
        <v>0</v>
      </c>
      <c r="AK35" s="58">
        <f t="shared" si="30"/>
        <v>-4.201680672268907</v>
      </c>
      <c r="AL35" s="58"/>
      <c r="AO35" s="68" t="str">
        <f t="shared" si="22"/>
        <v>Control</v>
      </c>
      <c r="AP35" s="70" t="str">
        <f t="shared" si="23"/>
        <v>Emlyn</v>
      </c>
      <c r="AQ35" s="5">
        <f t="shared" si="24"/>
        <v>3.391164991562634</v>
      </c>
      <c r="AR35" s="5">
        <f t="shared" si="31"/>
        <v>3.4351128074635335</v>
      </c>
      <c r="AS35" s="5">
        <f t="shared" si="32"/>
        <v>3.391164991562634</v>
      </c>
      <c r="AT35" s="3"/>
      <c r="AU35" s="3"/>
      <c r="AV35" s="5">
        <f t="shared" si="33"/>
        <v>0.04394781590089947</v>
      </c>
      <c r="AW35" s="5">
        <f t="shared" si="34"/>
        <v>0</v>
      </c>
      <c r="AX35" s="5">
        <f t="shared" si="35"/>
        <v>-0.04394781590089947</v>
      </c>
      <c r="AY35" s="5"/>
      <c r="BB35" s="68" t="str">
        <f t="shared" si="14"/>
        <v>Control</v>
      </c>
      <c r="BC35" s="70" t="str">
        <f t="shared" si="15"/>
        <v>Emlyn</v>
      </c>
      <c r="BD35" s="156">
        <f t="shared" si="16"/>
        <v>0.34597758756315844</v>
      </c>
      <c r="BE35" s="156">
        <f t="shared" si="12"/>
        <v>0.3506531448762882</v>
      </c>
      <c r="BF35" s="156">
        <f t="shared" si="12"/>
        <v>0.34597758756315844</v>
      </c>
      <c r="BG35" s="3"/>
      <c r="BH35" s="3"/>
      <c r="BI35" s="157">
        <f t="shared" si="36"/>
        <v>0.004675557313129741</v>
      </c>
      <c r="BJ35" s="157">
        <f t="shared" si="37"/>
        <v>0</v>
      </c>
      <c r="BK35" s="157">
        <f t="shared" si="38"/>
        <v>-0.004675557313129741</v>
      </c>
      <c r="BL35" s="5"/>
    </row>
    <row r="36" spans="2:64" ht="12.75">
      <c r="B36" s="68" t="str">
        <f t="shared" si="17"/>
        <v>Control</v>
      </c>
      <c r="C36" s="117" t="s">
        <v>71</v>
      </c>
      <c r="D36" s="22">
        <v>12.1</v>
      </c>
      <c r="E36" s="22">
        <v>11.9</v>
      </c>
      <c r="F36" s="22">
        <v>12.3</v>
      </c>
      <c r="H36" s="3"/>
      <c r="I36" s="5">
        <f t="shared" si="4"/>
        <v>-0.1999999999999993</v>
      </c>
      <c r="J36" s="5">
        <f t="shared" si="5"/>
        <v>0.20000000000000107</v>
      </c>
      <c r="K36" s="5">
        <f t="shared" si="6"/>
        <v>0.40000000000000036</v>
      </c>
      <c r="L36" s="5"/>
      <c r="O36" s="68" t="str">
        <f t="shared" si="18"/>
        <v>Control</v>
      </c>
      <c r="P36" s="70" t="str">
        <f t="shared" si="19"/>
        <v>Ira</v>
      </c>
      <c r="Q36" s="5">
        <f t="shared" si="7"/>
        <v>249.32054526026954</v>
      </c>
      <c r="R36" s="5">
        <f t="shared" si="8"/>
        <v>247.65384001174837</v>
      </c>
      <c r="S36" s="5">
        <f t="shared" si="9"/>
        <v>250.9599262378372</v>
      </c>
      <c r="T36" s="5"/>
      <c r="U36" s="5"/>
      <c r="V36" s="5">
        <f t="shared" si="25"/>
        <v>-1.6667052485211684</v>
      </c>
      <c r="W36" s="5">
        <f t="shared" si="26"/>
        <v>1.6393809775676687</v>
      </c>
      <c r="X36" s="5">
        <f t="shared" si="27"/>
        <v>3.306086226088837</v>
      </c>
      <c r="Y36" s="5"/>
      <c r="AB36" s="68" t="str">
        <f t="shared" si="20"/>
        <v>Control</v>
      </c>
      <c r="AC36" s="70" t="str">
        <f t="shared" si="21"/>
        <v>Ira</v>
      </c>
      <c r="AD36" s="58">
        <f t="shared" si="13"/>
        <v>53.78151260504202</v>
      </c>
      <c r="AE36" s="58">
        <f t="shared" si="10"/>
        <v>49.57983193277311</v>
      </c>
      <c r="AF36" s="58">
        <f t="shared" si="10"/>
        <v>57.98319327731093</v>
      </c>
      <c r="AG36" s="3"/>
      <c r="AH36" s="3"/>
      <c r="AI36" s="58">
        <f t="shared" si="28"/>
        <v>-4.201680672268907</v>
      </c>
      <c r="AJ36" s="58">
        <f t="shared" si="29"/>
        <v>4.201680672268914</v>
      </c>
      <c r="AK36" s="58">
        <f t="shared" si="30"/>
        <v>8.40336134453782</v>
      </c>
      <c r="AL36" s="58"/>
      <c r="AO36" s="68" t="str">
        <f t="shared" si="22"/>
        <v>Control</v>
      </c>
      <c r="AP36" s="70" t="str">
        <f t="shared" si="23"/>
        <v>Ira</v>
      </c>
      <c r="AQ36" s="5">
        <f t="shared" si="24"/>
        <v>3.478505426185217</v>
      </c>
      <c r="AR36" s="5">
        <f t="shared" si="31"/>
        <v>3.449637662132068</v>
      </c>
      <c r="AS36" s="5">
        <f t="shared" si="32"/>
        <v>3.5071355833500366</v>
      </c>
      <c r="AT36" s="3"/>
      <c r="AU36" s="3"/>
      <c r="AV36" s="5">
        <f t="shared" si="33"/>
        <v>-0.02886776405314917</v>
      </c>
      <c r="AW36" s="5">
        <f t="shared" si="34"/>
        <v>0.028630157164819536</v>
      </c>
      <c r="AX36" s="5">
        <f t="shared" si="35"/>
        <v>0.057497921217968706</v>
      </c>
      <c r="AY36" s="5"/>
      <c r="BB36" s="68" t="str">
        <f t="shared" si="14"/>
        <v>Control</v>
      </c>
      <c r="BC36" s="70" t="str">
        <f t="shared" si="15"/>
        <v>Ira</v>
      </c>
      <c r="BD36" s="156">
        <f t="shared" si="16"/>
        <v>0.35527749346034315</v>
      </c>
      <c r="BE36" s="156">
        <f t="shared" si="12"/>
        <v>0.3522001814042351</v>
      </c>
      <c r="BF36" s="156">
        <f t="shared" si="12"/>
        <v>0.358332950674791</v>
      </c>
      <c r="BG36" s="3"/>
      <c r="BH36" s="3"/>
      <c r="BI36" s="157">
        <f t="shared" si="36"/>
        <v>-0.0030773120561080614</v>
      </c>
      <c r="BJ36" s="157">
        <f t="shared" si="37"/>
        <v>0.003055457214447832</v>
      </c>
      <c r="BK36" s="157">
        <f t="shared" si="38"/>
        <v>0.006132769270555893</v>
      </c>
      <c r="BL36" s="5"/>
    </row>
    <row r="37" spans="2:64" ht="12.75">
      <c r="B37" s="68" t="str">
        <f t="shared" si="17"/>
        <v>Control</v>
      </c>
      <c r="C37" s="117" t="s">
        <v>80</v>
      </c>
      <c r="D37" s="22">
        <v>9.7</v>
      </c>
      <c r="E37" s="22">
        <v>9.1</v>
      </c>
      <c r="F37" s="22">
        <v>10.3</v>
      </c>
      <c r="H37" s="3"/>
      <c r="I37" s="5">
        <f t="shared" si="4"/>
        <v>-0.5999999999999996</v>
      </c>
      <c r="J37" s="5">
        <f t="shared" si="5"/>
        <v>0.6000000000000014</v>
      </c>
      <c r="K37" s="5">
        <f t="shared" si="6"/>
        <v>1.200000000000001</v>
      </c>
      <c r="L37" s="5"/>
      <c r="O37" s="68" t="str">
        <f t="shared" si="18"/>
        <v>Control</v>
      </c>
      <c r="P37" s="70" t="str">
        <f t="shared" si="19"/>
        <v>Jade</v>
      </c>
      <c r="Q37" s="5">
        <f t="shared" si="7"/>
        <v>227.2125885509337</v>
      </c>
      <c r="R37" s="5">
        <f t="shared" si="8"/>
        <v>220.82744135228043</v>
      </c>
      <c r="S37" s="5">
        <f t="shared" si="9"/>
        <v>233.214389523559</v>
      </c>
      <c r="T37" s="5"/>
      <c r="U37" s="5"/>
      <c r="V37" s="5">
        <f t="shared" si="25"/>
        <v>-6.3851471986532715</v>
      </c>
      <c r="W37" s="5">
        <f t="shared" si="26"/>
        <v>6.00180097262529</v>
      </c>
      <c r="X37" s="5">
        <f t="shared" si="27"/>
        <v>12.386948171278561</v>
      </c>
      <c r="Y37" s="5"/>
      <c r="AB37" s="68" t="str">
        <f t="shared" si="20"/>
        <v>Control</v>
      </c>
      <c r="AC37" s="70" t="str">
        <f t="shared" si="21"/>
        <v>Jade</v>
      </c>
      <c r="AD37" s="58">
        <f t="shared" si="13"/>
        <v>17.647058823529413</v>
      </c>
      <c r="AE37" s="58">
        <f t="shared" si="10"/>
        <v>10.92436974789916</v>
      </c>
      <c r="AF37" s="58">
        <f t="shared" si="10"/>
        <v>26.05042016806723</v>
      </c>
      <c r="AG37" s="3"/>
      <c r="AH37" s="3"/>
      <c r="AI37" s="58">
        <f t="shared" si="28"/>
        <v>-6.722689075630253</v>
      </c>
      <c r="AJ37" s="58">
        <f t="shared" si="29"/>
        <v>8.403361344537817</v>
      </c>
      <c r="AK37" s="58">
        <f t="shared" si="30"/>
        <v>15.12605042016807</v>
      </c>
      <c r="AL37" s="58"/>
      <c r="AO37" s="68" t="str">
        <f t="shared" si="22"/>
        <v>Control</v>
      </c>
      <c r="AP37" s="70" t="str">
        <f t="shared" si="23"/>
        <v>Jade</v>
      </c>
      <c r="AQ37" s="5">
        <f t="shared" si="24"/>
        <v>3.1144823004794873</v>
      </c>
      <c r="AR37" s="5">
        <f t="shared" si="31"/>
        <v>3.0166206257996713</v>
      </c>
      <c r="AS37" s="5">
        <f t="shared" si="32"/>
        <v>3.2093613071762426</v>
      </c>
      <c r="AT37" s="3"/>
      <c r="AU37" s="3"/>
      <c r="AV37" s="5">
        <f t="shared" si="33"/>
        <v>-0.09786167467981599</v>
      </c>
      <c r="AW37" s="5">
        <f t="shared" si="34"/>
        <v>0.09487900669675531</v>
      </c>
      <c r="AX37" s="5">
        <f t="shared" si="35"/>
        <v>0.1927406813765713</v>
      </c>
      <c r="AY37" s="5"/>
      <c r="BB37" s="68" t="str">
        <f t="shared" si="14"/>
        <v>Control</v>
      </c>
      <c r="BC37" s="70" t="str">
        <f t="shared" si="15"/>
        <v>Jade</v>
      </c>
      <c r="BD37" s="156">
        <f t="shared" si="16"/>
        <v>0.31671668316461954</v>
      </c>
      <c r="BE37" s="156">
        <f t="shared" si="12"/>
        <v>0.3064354474956868</v>
      </c>
      <c r="BF37" s="156">
        <f t="shared" si="12"/>
        <v>0.3267177391377737</v>
      </c>
      <c r="BG37" s="3"/>
      <c r="BH37" s="3"/>
      <c r="BI37" s="157">
        <f t="shared" si="36"/>
        <v>-0.010281235668932742</v>
      </c>
      <c r="BJ37" s="157">
        <f t="shared" si="37"/>
        <v>0.01000105597315415</v>
      </c>
      <c r="BK37" s="157">
        <f t="shared" si="38"/>
        <v>0.02028229164208689</v>
      </c>
      <c r="BL37" s="5"/>
    </row>
    <row r="38" spans="2:64" ht="12.75">
      <c r="B38" s="68" t="str">
        <f t="shared" si="17"/>
        <v>Control</v>
      </c>
      <c r="C38" s="117" t="s">
        <v>77</v>
      </c>
      <c r="D38" s="22">
        <v>11.7</v>
      </c>
      <c r="E38" s="22">
        <v>11</v>
      </c>
      <c r="F38" s="22">
        <v>13.8</v>
      </c>
      <c r="H38" s="3"/>
      <c r="I38" s="5">
        <f>IF(AND(ISNUMBER(E38),ISNUMBER(D38)),E38-D38,"miss")</f>
        <v>-0.6999999999999993</v>
      </c>
      <c r="J38" s="5">
        <f>IF(AND(ISNUMBER(F38),ISNUMBER(D38)),F38-D38,"miss")</f>
        <v>2.1000000000000014</v>
      </c>
      <c r="K38" s="5">
        <f>IF(AND(ISNUMBER(F38),ISNUMBER(E38)),F38-E38,"miss")</f>
        <v>2.8000000000000007</v>
      </c>
      <c r="L38" s="5"/>
      <c r="O38" s="68" t="str">
        <f>B38</f>
        <v>Control</v>
      </c>
      <c r="P38" s="70" t="str">
        <f>C38</f>
        <v>Jan</v>
      </c>
      <c r="Q38" s="5">
        <f>IF(ISERROR(100*LN(D38)),"miss",100*LN(D38))</f>
        <v>245.95888418037103</v>
      </c>
      <c r="R38" s="5">
        <f>IF(ISERROR(100*LN(E38)),"miss",100*LN(E38))</f>
        <v>239.78952727983707</v>
      </c>
      <c r="S38" s="5">
        <f>IF(ISERROR(100*LN(F38)),"miss",100*LN(F38))</f>
        <v>262.4668592163159</v>
      </c>
      <c r="T38" s="5"/>
      <c r="U38" s="5"/>
      <c r="V38" s="5">
        <f>IF(AND(ISNUMBER(R38),ISNUMBER(Q38)),R38-Q38,"miss")</f>
        <v>-6.1693569005339555</v>
      </c>
      <c r="W38" s="5">
        <f>IF(AND(ISNUMBER(S38),ISNUMBER(Q38)),S38-Q38,"miss")</f>
        <v>16.507975035944895</v>
      </c>
      <c r="X38" s="5">
        <f>IF(AND(ISNUMBER(S38),ISNUMBER(R38)),S38-R38,"miss")</f>
        <v>22.67733193647885</v>
      </c>
      <c r="Y38" s="5"/>
      <c r="AB38" s="68" t="str">
        <f>O38</f>
        <v>Control</v>
      </c>
      <c r="AC38" s="70" t="str">
        <f>P38</f>
        <v>Jan</v>
      </c>
      <c r="AD38" s="58">
        <f t="shared" si="13"/>
        <v>45.378151260504204</v>
      </c>
      <c r="AE38" s="58">
        <f t="shared" si="10"/>
        <v>36.97478991596639</v>
      </c>
      <c r="AF38" s="58">
        <f t="shared" si="10"/>
        <v>84.87394957983193</v>
      </c>
      <c r="AG38" s="3"/>
      <c r="AH38" s="3"/>
      <c r="AI38" s="58">
        <f>IF(AND(ISNUMBER(AE38),ISNUMBER(AD38)),AE38-AD38,"miss")</f>
        <v>-8.403361344537814</v>
      </c>
      <c r="AJ38" s="58">
        <f>IF(AND(ISNUMBER(AF38),ISNUMBER(AD38)),AF38-AD38,"miss")</f>
        <v>39.495798319327726</v>
      </c>
      <c r="AK38" s="58">
        <f>IF(AND(ISNUMBER(AF38),ISNUMBER(AE38)),AF38-AE38,"miss")</f>
        <v>47.89915966386554</v>
      </c>
      <c r="AL38" s="58"/>
      <c r="AO38" s="68" t="str">
        <f>AB38</f>
        <v>Control</v>
      </c>
      <c r="AP38" s="70" t="str">
        <f>AC38</f>
        <v>Jan</v>
      </c>
      <c r="AQ38" s="5">
        <f t="shared" si="24"/>
        <v>3.420526275297414</v>
      </c>
      <c r="AR38" s="5">
        <f t="shared" si="31"/>
        <v>3.3166247903554</v>
      </c>
      <c r="AS38" s="5">
        <f t="shared" si="32"/>
        <v>3.714835124201342</v>
      </c>
      <c r="AT38" s="3"/>
      <c r="AU38" s="3"/>
      <c r="AV38" s="5">
        <f>IF(AND(ISNUMBER(AR38),ISNUMBER(AQ38)),AR38-AQ38,"miss")</f>
        <v>-0.10390148494201412</v>
      </c>
      <c r="AW38" s="5">
        <f>IF(AND(ISNUMBER(AS38),ISNUMBER(AQ38)),AS38-AQ38,"miss")</f>
        <v>0.29430884890392806</v>
      </c>
      <c r="AX38" s="5">
        <f>IF(AND(ISNUMBER(AS38),ISNUMBER(AR38)),AS38-AR38,"miss")</f>
        <v>0.3982103338459422</v>
      </c>
      <c r="AY38" s="5"/>
      <c r="BB38" s="68" t="str">
        <f t="shared" si="14"/>
        <v>Control</v>
      </c>
      <c r="BC38" s="70" t="str">
        <f t="shared" si="15"/>
        <v>Jan</v>
      </c>
      <c r="BD38" s="156">
        <f t="shared" si="16"/>
        <v>0.3491004195842809</v>
      </c>
      <c r="BE38" s="156">
        <f t="shared" si="12"/>
        <v>0.3380652547803307</v>
      </c>
      <c r="BF38" s="156">
        <f t="shared" si="12"/>
        <v>0.3806063666152356</v>
      </c>
      <c r="BG38" s="3"/>
      <c r="BH38" s="3"/>
      <c r="BI38" s="157">
        <f t="shared" si="36"/>
        <v>-0.01103516480395017</v>
      </c>
      <c r="BJ38" s="157">
        <f t="shared" si="37"/>
        <v>0.03150594703095472</v>
      </c>
      <c r="BK38" s="157">
        <f t="shared" si="38"/>
        <v>0.04254111183490489</v>
      </c>
      <c r="BL38" s="5"/>
    </row>
    <row r="39" spans="2:64" ht="12.75">
      <c r="B39" s="68" t="str">
        <f t="shared" si="17"/>
        <v>Control</v>
      </c>
      <c r="C39" s="117" t="s">
        <v>56</v>
      </c>
      <c r="D39" s="22">
        <v>13.7</v>
      </c>
      <c r="E39" s="22">
        <v>13.4</v>
      </c>
      <c r="F39" s="22">
        <v>13.9</v>
      </c>
      <c r="H39" s="3"/>
      <c r="I39" s="5">
        <f t="shared" si="4"/>
        <v>-0.29999999999999893</v>
      </c>
      <c r="J39" s="5">
        <f t="shared" si="5"/>
        <v>0.20000000000000107</v>
      </c>
      <c r="K39" s="5">
        <f t="shared" si="6"/>
        <v>0.5</v>
      </c>
      <c r="L39" s="5"/>
      <c r="O39" s="68" t="str">
        <f t="shared" si="18"/>
        <v>Control</v>
      </c>
      <c r="P39" s="70" t="str">
        <f t="shared" si="19"/>
        <v>Jayden</v>
      </c>
      <c r="Q39" s="5">
        <f t="shared" si="7"/>
        <v>261.7395832834079</v>
      </c>
      <c r="R39" s="5">
        <f t="shared" si="8"/>
        <v>259.5254706956866</v>
      </c>
      <c r="S39" s="5">
        <f t="shared" si="9"/>
        <v>263.1888840136646</v>
      </c>
      <c r="T39" s="5"/>
      <c r="U39" s="5"/>
      <c r="V39" s="5">
        <f t="shared" si="25"/>
        <v>-2.2141125877213312</v>
      </c>
      <c r="W39" s="5">
        <f t="shared" si="26"/>
        <v>1.4493007302567094</v>
      </c>
      <c r="X39" s="5">
        <f t="shared" si="27"/>
        <v>3.6634133179780406</v>
      </c>
      <c r="Y39" s="5"/>
      <c r="AB39" s="68" t="str">
        <f t="shared" si="20"/>
        <v>Control</v>
      </c>
      <c r="AC39" s="70" t="str">
        <f t="shared" si="21"/>
        <v>Jayden</v>
      </c>
      <c r="AD39" s="58">
        <f t="shared" si="13"/>
        <v>82.35294117647058</v>
      </c>
      <c r="AE39" s="58">
        <f t="shared" si="10"/>
        <v>76.47058823529412</v>
      </c>
      <c r="AF39" s="58">
        <f t="shared" si="10"/>
        <v>86.5546218487395</v>
      </c>
      <c r="AG39" s="3"/>
      <c r="AH39" s="3"/>
      <c r="AI39" s="58">
        <f t="shared" si="28"/>
        <v>-5.882352941176464</v>
      </c>
      <c r="AJ39" s="58">
        <f t="shared" si="29"/>
        <v>4.201680672268921</v>
      </c>
      <c r="AK39" s="58">
        <f t="shared" si="30"/>
        <v>10.084033613445385</v>
      </c>
      <c r="AL39" s="58"/>
      <c r="AO39" s="68" t="str">
        <f t="shared" si="22"/>
        <v>Control</v>
      </c>
      <c r="AP39" s="70" t="str">
        <f t="shared" si="23"/>
        <v>Jayden</v>
      </c>
      <c r="AQ39" s="5">
        <f t="shared" si="24"/>
        <v>3.7013511046643495</v>
      </c>
      <c r="AR39" s="5">
        <f t="shared" si="31"/>
        <v>3.6606010435446255</v>
      </c>
      <c r="AS39" s="5">
        <f t="shared" si="32"/>
        <v>3.7282703764614498</v>
      </c>
      <c r="AT39" s="3"/>
      <c r="AU39" s="3"/>
      <c r="AV39" s="5">
        <f t="shared" si="33"/>
        <v>-0.04075006111972401</v>
      </c>
      <c r="AW39" s="5">
        <f t="shared" si="34"/>
        <v>0.026919271797100297</v>
      </c>
      <c r="AX39" s="5">
        <f t="shared" si="35"/>
        <v>0.06766933291682431</v>
      </c>
      <c r="AY39" s="5"/>
      <c r="BB39" s="68" t="str">
        <f t="shared" si="14"/>
        <v>Control</v>
      </c>
      <c r="BC39" s="70" t="str">
        <f t="shared" si="15"/>
        <v>Jayden</v>
      </c>
      <c r="BD39" s="156">
        <f t="shared" si="16"/>
        <v>0.3791544563921582</v>
      </c>
      <c r="BE39" s="156">
        <f t="shared" si="12"/>
        <v>0.3747717211713554</v>
      </c>
      <c r="BF39" s="156">
        <f t="shared" si="12"/>
        <v>0.38205386512978146</v>
      </c>
      <c r="BG39" s="3"/>
      <c r="BH39" s="3"/>
      <c r="BI39" s="157">
        <f t="shared" si="36"/>
        <v>-0.004382735220802847</v>
      </c>
      <c r="BJ39" s="157">
        <f t="shared" si="37"/>
        <v>0.0028994087376232325</v>
      </c>
      <c r="BK39" s="157">
        <f t="shared" si="38"/>
        <v>0.007282143958426079</v>
      </c>
      <c r="BL39" s="5"/>
    </row>
    <row r="40" spans="2:64" ht="12.75">
      <c r="B40" s="68" t="str">
        <f t="shared" si="17"/>
        <v>Control</v>
      </c>
      <c r="C40" s="117" t="s">
        <v>58</v>
      </c>
      <c r="D40" s="22">
        <v>11.3</v>
      </c>
      <c r="E40" s="22">
        <v>10.7</v>
      </c>
      <c r="F40" s="22">
        <v>11</v>
      </c>
      <c r="H40" s="3"/>
      <c r="I40" s="5">
        <f t="shared" si="4"/>
        <v>-0.6000000000000014</v>
      </c>
      <c r="J40" s="5">
        <f t="shared" si="5"/>
        <v>-0.3000000000000007</v>
      </c>
      <c r="K40" s="5">
        <f t="shared" si="6"/>
        <v>0.3000000000000007</v>
      </c>
      <c r="L40" s="5"/>
      <c r="O40" s="68" t="str">
        <f t="shared" si="18"/>
        <v>Control</v>
      </c>
      <c r="P40" s="70" t="str">
        <f t="shared" si="19"/>
        <v>Jesse</v>
      </c>
      <c r="Q40" s="5">
        <f t="shared" si="7"/>
        <v>242.4802725718295</v>
      </c>
      <c r="R40" s="5">
        <f t="shared" si="8"/>
        <v>237.02437414678604</v>
      </c>
      <c r="S40" s="5">
        <f t="shared" si="9"/>
        <v>239.78952727983707</v>
      </c>
      <c r="T40" s="5"/>
      <c r="U40" s="5"/>
      <c r="V40" s="5">
        <f t="shared" si="25"/>
        <v>-5.4558984250434435</v>
      </c>
      <c r="W40" s="5">
        <f t="shared" si="26"/>
        <v>-2.690745291992414</v>
      </c>
      <c r="X40" s="5">
        <f t="shared" si="27"/>
        <v>2.7651531330510295</v>
      </c>
      <c r="Y40" s="5"/>
      <c r="AB40" s="68" t="str">
        <f t="shared" si="20"/>
        <v>Control</v>
      </c>
      <c r="AC40" s="70" t="str">
        <f t="shared" si="21"/>
        <v>Jesse</v>
      </c>
      <c r="AD40" s="58">
        <f t="shared" si="13"/>
        <v>41.17647058823529</v>
      </c>
      <c r="AE40" s="58">
        <f aca="true" t="shared" si="40" ref="AE40:AF43">IF(ISNUMBER(E40),RANK(E40,allraw,1)/$D$81*100,"miss")</f>
        <v>31.092436974789916</v>
      </c>
      <c r="AF40" s="58">
        <f t="shared" si="40"/>
        <v>36.97478991596639</v>
      </c>
      <c r="AG40" s="3"/>
      <c r="AH40" s="3"/>
      <c r="AI40" s="58">
        <f t="shared" si="28"/>
        <v>-10.084033613445374</v>
      </c>
      <c r="AJ40" s="58">
        <f t="shared" si="29"/>
        <v>-4.2016806722689</v>
      </c>
      <c r="AK40" s="58">
        <f t="shared" si="30"/>
        <v>5.882352941176475</v>
      </c>
      <c r="AL40" s="58"/>
      <c r="AO40" s="68" t="str">
        <f t="shared" si="22"/>
        <v>Control</v>
      </c>
      <c r="AP40" s="70" t="str">
        <f t="shared" si="23"/>
        <v>Jesse</v>
      </c>
      <c r="AQ40" s="5">
        <f t="shared" si="24"/>
        <v>3.361547262794322</v>
      </c>
      <c r="AR40" s="5">
        <f t="shared" si="31"/>
        <v>3.271085446759225</v>
      </c>
      <c r="AS40" s="5">
        <f t="shared" si="32"/>
        <v>3.3166247903554</v>
      </c>
      <c r="AT40" s="3"/>
      <c r="AU40" s="3"/>
      <c r="AV40" s="5">
        <f t="shared" si="33"/>
        <v>-0.09046181603509718</v>
      </c>
      <c r="AW40" s="5">
        <f t="shared" si="34"/>
        <v>-0.044922472438922334</v>
      </c>
      <c r="AX40" s="5">
        <f t="shared" si="35"/>
        <v>0.04553934359617484</v>
      </c>
      <c r="AY40" s="5"/>
      <c r="BB40" s="68" t="str">
        <f t="shared" si="14"/>
        <v>Control</v>
      </c>
      <c r="BC40" s="70" t="str">
        <f t="shared" si="15"/>
        <v>Jesse</v>
      </c>
      <c r="BD40" s="156">
        <f t="shared" si="16"/>
        <v>0.3428310378219788</v>
      </c>
      <c r="BE40" s="156">
        <f aca="true" t="shared" si="41" ref="BE40:BF43">IF(ISNUMBER(R40),ASIN(SQRT(E40/100)),"miss")</f>
        <v>0.3332421643537312</v>
      </c>
      <c r="BF40" s="156">
        <f t="shared" si="41"/>
        <v>0.3380652547803307</v>
      </c>
      <c r="BG40" s="3"/>
      <c r="BH40" s="3"/>
      <c r="BI40" s="157">
        <f t="shared" si="36"/>
        <v>-0.009588873468247605</v>
      </c>
      <c r="BJ40" s="157">
        <f t="shared" si="37"/>
        <v>-0.004765783041648097</v>
      </c>
      <c r="BK40" s="157">
        <f t="shared" si="38"/>
        <v>0.004823090426599508</v>
      </c>
      <c r="BL40" s="5"/>
    </row>
    <row r="41" spans="2:64" ht="12.75">
      <c r="B41" s="68" t="str">
        <f t="shared" si="17"/>
        <v>Control</v>
      </c>
      <c r="C41" s="117" t="s">
        <v>57</v>
      </c>
      <c r="D41" s="22">
        <v>15.6</v>
      </c>
      <c r="E41" s="22">
        <v>16.5</v>
      </c>
      <c r="F41" s="22">
        <v>16.8</v>
      </c>
      <c r="H41" s="3"/>
      <c r="I41" s="5">
        <f t="shared" si="4"/>
        <v>0.9000000000000004</v>
      </c>
      <c r="J41" s="5">
        <f t="shared" si="5"/>
        <v>1.200000000000001</v>
      </c>
      <c r="K41" s="5">
        <f t="shared" si="6"/>
        <v>0.3000000000000007</v>
      </c>
      <c r="L41" s="5"/>
      <c r="O41" s="68" t="str">
        <f t="shared" si="18"/>
        <v>Control</v>
      </c>
      <c r="P41" s="70" t="str">
        <f t="shared" si="19"/>
        <v>Jo</v>
      </c>
      <c r="Q41" s="5">
        <f t="shared" si="7"/>
        <v>274.72709142554913</v>
      </c>
      <c r="R41" s="5">
        <f t="shared" si="8"/>
        <v>280.33603809065346</v>
      </c>
      <c r="S41" s="5">
        <f t="shared" si="9"/>
        <v>282.13788864092135</v>
      </c>
      <c r="T41" s="5"/>
      <c r="U41" s="5"/>
      <c r="V41" s="5">
        <f t="shared" si="25"/>
        <v>5.608946665104327</v>
      </c>
      <c r="W41" s="5">
        <f t="shared" si="26"/>
        <v>7.410797215372213</v>
      </c>
      <c r="X41" s="5">
        <f t="shared" si="27"/>
        <v>1.8018505502678863</v>
      </c>
      <c r="Y41" s="5"/>
      <c r="AB41" s="68" t="str">
        <f t="shared" si="20"/>
        <v>Control</v>
      </c>
      <c r="AC41" s="70" t="str">
        <f t="shared" si="21"/>
        <v>Jo</v>
      </c>
      <c r="AD41" s="58">
        <f t="shared" si="13"/>
        <v>94.9579831932773</v>
      </c>
      <c r="AE41" s="58">
        <f t="shared" si="40"/>
        <v>98.31932773109243</v>
      </c>
      <c r="AF41" s="58">
        <f t="shared" si="40"/>
        <v>100</v>
      </c>
      <c r="AG41" s="3"/>
      <c r="AH41" s="3"/>
      <c r="AI41" s="58">
        <f t="shared" si="28"/>
        <v>3.3613445378151283</v>
      </c>
      <c r="AJ41" s="58">
        <f t="shared" si="29"/>
        <v>5.0420168067227</v>
      </c>
      <c r="AK41" s="58">
        <f t="shared" si="30"/>
        <v>1.6806722689075713</v>
      </c>
      <c r="AL41" s="58"/>
      <c r="AO41" s="68" t="str">
        <f t="shared" si="22"/>
        <v>Control</v>
      </c>
      <c r="AP41" s="70" t="str">
        <f t="shared" si="23"/>
        <v>Jo</v>
      </c>
      <c r="AQ41" s="5">
        <f t="shared" si="24"/>
        <v>3.9496835316262997</v>
      </c>
      <c r="AR41" s="5">
        <f t="shared" si="31"/>
        <v>4.06201920231798</v>
      </c>
      <c r="AS41" s="5">
        <f t="shared" si="32"/>
        <v>4.09878030638384</v>
      </c>
      <c r="AT41" s="3"/>
      <c r="AU41" s="3"/>
      <c r="AV41" s="5">
        <f t="shared" si="33"/>
        <v>0.11233567069168071</v>
      </c>
      <c r="AW41" s="5">
        <f t="shared" si="34"/>
        <v>0.14909677475754002</v>
      </c>
      <c r="AX41" s="5">
        <f t="shared" si="35"/>
        <v>0.03676110406585931</v>
      </c>
      <c r="AY41" s="5"/>
      <c r="BB41" s="68" t="str">
        <f t="shared" si="14"/>
        <v>Control</v>
      </c>
      <c r="BC41" s="70" t="str">
        <f t="shared" si="15"/>
        <v>Jo</v>
      </c>
      <c r="BD41" s="156">
        <f t="shared" si="16"/>
        <v>0.40603340319260933</v>
      </c>
      <c r="BE41" s="156">
        <f t="shared" si="41"/>
        <v>0.4182937696707688</v>
      </c>
      <c r="BF41" s="156">
        <f t="shared" si="41"/>
        <v>0.4223203404103582</v>
      </c>
      <c r="BG41" s="3"/>
      <c r="BH41" s="3"/>
      <c r="BI41" s="157">
        <f t="shared" si="36"/>
        <v>0.012260366478159479</v>
      </c>
      <c r="BJ41" s="157">
        <f t="shared" si="37"/>
        <v>0.016286937217748876</v>
      </c>
      <c r="BK41" s="157">
        <f t="shared" si="38"/>
        <v>0.004026570739589397</v>
      </c>
      <c r="BL41" s="5"/>
    </row>
    <row r="42" spans="2:64" ht="12.75">
      <c r="B42" s="68" t="str">
        <f t="shared" si="17"/>
        <v>Control</v>
      </c>
      <c r="C42" s="117" t="s">
        <v>59</v>
      </c>
      <c r="D42" s="22">
        <v>13</v>
      </c>
      <c r="E42" s="22">
        <v>13.5</v>
      </c>
      <c r="F42" s="22">
        <v>13.8</v>
      </c>
      <c r="H42" s="3"/>
      <c r="I42" s="5">
        <f t="shared" si="4"/>
        <v>0.5</v>
      </c>
      <c r="J42" s="5">
        <f t="shared" si="5"/>
        <v>0.8000000000000007</v>
      </c>
      <c r="K42" s="5">
        <f t="shared" si="6"/>
        <v>0.3000000000000007</v>
      </c>
      <c r="L42" s="5"/>
      <c r="O42" s="68" t="str">
        <f t="shared" si="18"/>
        <v>Control</v>
      </c>
      <c r="P42" s="70" t="str">
        <f t="shared" si="19"/>
        <v>Jodi</v>
      </c>
      <c r="Q42" s="5">
        <f t="shared" si="7"/>
        <v>256.49493574615366</v>
      </c>
      <c r="R42" s="5">
        <f t="shared" si="8"/>
        <v>260.2689685444384</v>
      </c>
      <c r="S42" s="5">
        <f t="shared" si="9"/>
        <v>262.4668592163159</v>
      </c>
      <c r="T42" s="5"/>
      <c r="U42" s="5"/>
      <c r="V42" s="5">
        <f t="shared" si="25"/>
        <v>3.774032798284736</v>
      </c>
      <c r="W42" s="5">
        <f t="shared" si="26"/>
        <v>5.971923470162267</v>
      </c>
      <c r="X42" s="5">
        <f t="shared" si="27"/>
        <v>2.1978906718775306</v>
      </c>
      <c r="Y42" s="5"/>
      <c r="AB42" s="68" t="str">
        <f t="shared" si="20"/>
        <v>Control</v>
      </c>
      <c r="AC42" s="70" t="str">
        <f t="shared" si="21"/>
        <v>Jodi</v>
      </c>
      <c r="AD42" s="58">
        <f t="shared" si="13"/>
        <v>68.0672268907563</v>
      </c>
      <c r="AE42" s="58">
        <f t="shared" si="40"/>
        <v>77.31092436974791</v>
      </c>
      <c r="AF42" s="58">
        <f t="shared" si="40"/>
        <v>84.87394957983193</v>
      </c>
      <c r="AG42" s="3"/>
      <c r="AH42" s="3"/>
      <c r="AI42" s="58">
        <f t="shared" si="28"/>
        <v>9.243697478991606</v>
      </c>
      <c r="AJ42" s="58">
        <f t="shared" si="29"/>
        <v>16.806722689075627</v>
      </c>
      <c r="AK42" s="58">
        <f t="shared" si="30"/>
        <v>7.563025210084021</v>
      </c>
      <c r="AL42" s="58"/>
      <c r="AO42" s="68" t="str">
        <f t="shared" si="22"/>
        <v>Control</v>
      </c>
      <c r="AP42" s="70" t="str">
        <f t="shared" si="23"/>
        <v>Jodi</v>
      </c>
      <c r="AQ42" s="5">
        <f t="shared" si="24"/>
        <v>3.605551275463989</v>
      </c>
      <c r="AR42" s="5">
        <f t="shared" si="31"/>
        <v>3.6742346141747673</v>
      </c>
      <c r="AS42" s="5">
        <f t="shared" si="32"/>
        <v>3.714835124201342</v>
      </c>
      <c r="AT42" s="3"/>
      <c r="AU42" s="3"/>
      <c r="AV42" s="5">
        <f t="shared" si="33"/>
        <v>0.06868333871077814</v>
      </c>
      <c r="AW42" s="5">
        <f t="shared" si="34"/>
        <v>0.10928384873735286</v>
      </c>
      <c r="AX42" s="5">
        <f t="shared" si="35"/>
        <v>0.04060051002657472</v>
      </c>
      <c r="AY42" s="5"/>
      <c r="BB42" s="68" t="str">
        <f t="shared" si="14"/>
        <v>Control</v>
      </c>
      <c r="BC42" s="70" t="str">
        <f t="shared" si="15"/>
        <v>Jodi</v>
      </c>
      <c r="BD42" s="156">
        <f t="shared" si="16"/>
        <v>0.36886298422662445</v>
      </c>
      <c r="BE42" s="156">
        <f t="shared" si="41"/>
        <v>0.37623718808166845</v>
      </c>
      <c r="BF42" s="156">
        <f t="shared" si="41"/>
        <v>0.3806063666152356</v>
      </c>
      <c r="BG42" s="3"/>
      <c r="BH42" s="3"/>
      <c r="BI42" s="157">
        <f t="shared" si="36"/>
        <v>0.007374203855044004</v>
      </c>
      <c r="BJ42" s="157">
        <f t="shared" si="37"/>
        <v>0.011743382388611168</v>
      </c>
      <c r="BK42" s="157">
        <f t="shared" si="38"/>
        <v>0.004369178533567164</v>
      </c>
      <c r="BL42" s="5"/>
    </row>
    <row r="43" spans="2:64" ht="12.75">
      <c r="B43" s="68" t="str">
        <f>B42</f>
        <v>Control</v>
      </c>
      <c r="C43" s="117" t="s">
        <v>133</v>
      </c>
      <c r="D43" s="22">
        <v>11.9</v>
      </c>
      <c r="E43" s="22">
        <v>12.5</v>
      </c>
      <c r="F43" s="22">
        <v>12</v>
      </c>
      <c r="H43" s="3"/>
      <c r="I43" s="5">
        <f t="shared" si="4"/>
        <v>0.5999999999999996</v>
      </c>
      <c r="J43" s="5">
        <f t="shared" si="5"/>
        <v>0.09999999999999964</v>
      </c>
      <c r="K43" s="5">
        <f t="shared" si="6"/>
        <v>-0.5</v>
      </c>
      <c r="L43" s="5"/>
      <c r="O43" s="68" t="str">
        <f t="shared" si="18"/>
        <v>Control</v>
      </c>
      <c r="P43" s="70" t="str">
        <f>C43</f>
        <v>Jude</v>
      </c>
      <c r="Q43" s="5">
        <f t="shared" si="7"/>
        <v>247.65384001174837</v>
      </c>
      <c r="R43" s="5">
        <f t="shared" si="8"/>
        <v>252.57286443082558</v>
      </c>
      <c r="S43" s="5">
        <f t="shared" si="9"/>
        <v>248.49066497880003</v>
      </c>
      <c r="T43" s="5"/>
      <c r="U43" s="5"/>
      <c r="V43" s="5">
        <f t="shared" si="25"/>
        <v>4.9190244190772034</v>
      </c>
      <c r="W43" s="5">
        <f t="shared" si="26"/>
        <v>0.8368249670516548</v>
      </c>
      <c r="X43" s="5">
        <f t="shared" si="27"/>
        <v>-4.082199452025549</v>
      </c>
      <c r="Y43" s="5"/>
      <c r="AB43" s="68" t="str">
        <f t="shared" si="20"/>
        <v>Control</v>
      </c>
      <c r="AC43" s="70" t="str">
        <f t="shared" si="21"/>
        <v>Jude</v>
      </c>
      <c r="AD43" s="58">
        <f t="shared" si="13"/>
        <v>49.57983193277311</v>
      </c>
      <c r="AE43" s="58">
        <f t="shared" si="40"/>
        <v>61.34453781512605</v>
      </c>
      <c r="AF43" s="58">
        <f t="shared" si="40"/>
        <v>51.26050420168067</v>
      </c>
      <c r="AG43" s="3"/>
      <c r="AH43" s="3"/>
      <c r="AI43" s="58">
        <f t="shared" si="28"/>
        <v>11.764705882352942</v>
      </c>
      <c r="AJ43" s="58">
        <f t="shared" si="29"/>
        <v>1.680672268907557</v>
      </c>
      <c r="AK43" s="58">
        <f t="shared" si="30"/>
        <v>-10.084033613445385</v>
      </c>
      <c r="AL43" s="58"/>
      <c r="AO43" s="68" t="str">
        <f t="shared" si="22"/>
        <v>Control</v>
      </c>
      <c r="AP43" s="70" t="s">
        <v>133</v>
      </c>
      <c r="AQ43" s="5">
        <f t="shared" si="24"/>
        <v>3.449637662132068</v>
      </c>
      <c r="AR43" s="5">
        <f t="shared" si="31"/>
        <v>3.5355339059327378</v>
      </c>
      <c r="AS43" s="5">
        <f t="shared" si="32"/>
        <v>3.4641016151377544</v>
      </c>
      <c r="AT43" s="3"/>
      <c r="AU43" s="3"/>
      <c r="AV43" s="5">
        <f t="shared" si="33"/>
        <v>0.08589624380066985</v>
      </c>
      <c r="AW43" s="5">
        <f t="shared" si="34"/>
        <v>0.01446395300568648</v>
      </c>
      <c r="AX43" s="5">
        <f t="shared" si="35"/>
        <v>-0.07143229079498337</v>
      </c>
      <c r="AY43" s="5"/>
      <c r="BB43" s="68" t="str">
        <f t="shared" si="14"/>
        <v>Control</v>
      </c>
      <c r="BC43" s="70" t="str">
        <f t="shared" si="15"/>
        <v>Jude</v>
      </c>
      <c r="BD43" s="156">
        <f t="shared" si="16"/>
        <v>0.3522001814042351</v>
      </c>
      <c r="BE43" s="156">
        <f t="shared" si="41"/>
        <v>0.36136712390670783</v>
      </c>
      <c r="BF43" s="156">
        <f t="shared" si="41"/>
        <v>0.3537416058896715</v>
      </c>
      <c r="BG43" s="3"/>
      <c r="BH43" s="3"/>
      <c r="BI43" s="157">
        <f t="shared" si="36"/>
        <v>0.009166942502472741</v>
      </c>
      <c r="BJ43" s="157">
        <f t="shared" si="37"/>
        <v>0.0015414244854364267</v>
      </c>
      <c r="BK43" s="157">
        <f t="shared" si="38"/>
        <v>-0.007625518017036315</v>
      </c>
      <c r="BL43" s="5"/>
    </row>
    <row r="44" spans="2:64" ht="12.75">
      <c r="B44" s="37"/>
      <c r="C44" s="7" t="s">
        <v>2</v>
      </c>
      <c r="D44" s="107">
        <f>AVERAGE(D24:D43)</f>
        <v>11.999999999999998</v>
      </c>
      <c r="E44" s="6"/>
      <c r="F44" s="6"/>
      <c r="G44" s="6"/>
      <c r="H44" s="7" t="s">
        <v>2</v>
      </c>
      <c r="I44" s="107">
        <f>AVERAGE(I24:I43)</f>
        <v>0.02499999999999982</v>
      </c>
      <c r="J44" s="107">
        <f>AVERAGE(J24:J43)</f>
        <v>-0.010526315789473554</v>
      </c>
      <c r="K44" s="107">
        <f>AVERAGE(K24:K43)</f>
        <v>-0.089473684210526</v>
      </c>
      <c r="L44" s="107" t="e">
        <f>AVERAGE(L24:L43)</f>
        <v>#DIV/0!</v>
      </c>
      <c r="P44" s="7" t="s">
        <v>14</v>
      </c>
      <c r="Q44" s="8">
        <f>AVERAGE(Q24:Q43)</f>
        <v>247.2250156827316</v>
      </c>
      <c r="R44" s="8"/>
      <c r="S44" s="8"/>
      <c r="T44" s="8"/>
      <c r="U44" s="7" t="s">
        <v>2</v>
      </c>
      <c r="V44" s="8">
        <f>AVERAGE(V24:V43)</f>
        <v>0.2520533314568141</v>
      </c>
      <c r="W44" s="8">
        <f>AVERAGE(W24:W43)</f>
        <v>-0.07282067632008636</v>
      </c>
      <c r="X44" s="8">
        <f>AVERAGE(X24:X43)</f>
        <v>-0.7662749170849011</v>
      </c>
      <c r="Y44" s="8" t="e">
        <f>AVERAGE(Y24:Y43)</f>
        <v>#DIV/0!</v>
      </c>
      <c r="AB44" s="67"/>
      <c r="AC44" s="7" t="s">
        <v>125</v>
      </c>
      <c r="AD44" s="8">
        <f>AVERAGE(AD24:AD43)</f>
        <v>50.924369747899156</v>
      </c>
      <c r="AE44" s="8"/>
      <c r="AF44" s="8"/>
      <c r="AG44" s="8"/>
      <c r="AH44" s="7" t="s">
        <v>2</v>
      </c>
      <c r="AI44" s="8">
        <f>AVERAGE(AI24:AI43)</f>
        <v>0.08403361344537963</v>
      </c>
      <c r="AJ44" s="8">
        <f>AVERAGE(AJ24:AJ43)</f>
        <v>1.4153029632905811</v>
      </c>
      <c r="AK44" s="8">
        <f>AVERAGE(AK24:AK43)</f>
        <v>0.3538257408226453</v>
      </c>
      <c r="AL44" s="8" t="e">
        <f>AVERAGE(AL24:AL43)</f>
        <v>#DIV/0!</v>
      </c>
      <c r="AO44" s="67"/>
      <c r="AP44" s="7" t="s">
        <v>44</v>
      </c>
      <c r="AQ44" s="8">
        <f>AVERAGE(AQ24:AQ43)</f>
        <v>3.453126924372461</v>
      </c>
      <c r="AR44" s="8"/>
      <c r="AS44" s="8"/>
      <c r="AT44" s="8"/>
      <c r="AU44" s="7" t="s">
        <v>2</v>
      </c>
      <c r="AV44" s="6">
        <f>AVERAGE(AV24:AV43)</f>
        <v>0.003933769324203218</v>
      </c>
      <c r="AW44" s="6">
        <f>AVERAGE(AW24:AW43)</f>
        <v>-0.0013797860934890351</v>
      </c>
      <c r="AX44" s="6">
        <f>AVERAGE(AX24:AX43)</f>
        <v>-0.013025646252446626</v>
      </c>
      <c r="AY44" s="6" t="e">
        <f>AVERAGE(AY24:AY43)</f>
        <v>#DIV/0!</v>
      </c>
      <c r="BB44" s="67"/>
      <c r="BC44" s="7" t="s">
        <v>44</v>
      </c>
      <c r="BD44" s="6">
        <f>AVERAGE(BD24:BD43)</f>
        <v>0.3527327248754796</v>
      </c>
      <c r="BE44" s="6"/>
      <c r="BF44" s="6"/>
      <c r="BG44" s="8"/>
      <c r="BH44" s="7" t="s">
        <v>2</v>
      </c>
      <c r="BI44" s="158">
        <f>AVERAGE(BI24:BI43)</f>
        <v>0.00041571966339908897</v>
      </c>
      <c r="BJ44" s="158">
        <f>AVERAGE(BJ24:BJ43)</f>
        <v>-0.00014934749920161421</v>
      </c>
      <c r="BK44" s="158">
        <f>AVERAGE(BK24:BK43)</f>
        <v>-0.0013883431751232223</v>
      </c>
      <c r="BL44" s="158" t="e">
        <f>AVERAGE(BL24:BL43)</f>
        <v>#DIV/0!</v>
      </c>
    </row>
    <row r="45" spans="2:64" ht="12.75">
      <c r="B45" s="37"/>
      <c r="C45" s="7" t="s">
        <v>3</v>
      </c>
      <c r="D45" s="107">
        <f>STDEV(D24:D43)</f>
        <v>1.9791013377953222</v>
      </c>
      <c r="E45" s="6"/>
      <c r="F45" s="6"/>
      <c r="G45" s="6"/>
      <c r="H45" s="7" t="s">
        <v>3</v>
      </c>
      <c r="I45" s="107">
        <f>STDEV(I24:I43)</f>
        <v>0.6528278567327803</v>
      </c>
      <c r="J45" s="107">
        <f>STDEV(J24:J43)</f>
        <v>1.0445066548599795</v>
      </c>
      <c r="K45" s="107">
        <f>STDEV(K24:K43)</f>
        <v>1.0471626939508205</v>
      </c>
      <c r="L45" s="107" t="e">
        <f>STDEV(L24:L43)</f>
        <v>#DIV/0!</v>
      </c>
      <c r="P45" s="7" t="s">
        <v>15</v>
      </c>
      <c r="Q45" s="8">
        <f>STDEV(Q24:Q43)</f>
        <v>16.272129307427864</v>
      </c>
      <c r="R45" s="8"/>
      <c r="S45" s="8"/>
      <c r="T45" s="8"/>
      <c r="U45" s="7" t="s">
        <v>3</v>
      </c>
      <c r="V45" s="8">
        <f>STDEV(V24:V43)</f>
        <v>5.553047472162197</v>
      </c>
      <c r="W45" s="8">
        <f>STDEV(W24:W43)</f>
        <v>8.167353184452944</v>
      </c>
      <c r="X45" s="8">
        <f>STDEV(X24:X43)</f>
        <v>8.617745954285608</v>
      </c>
      <c r="Y45" s="8" t="e">
        <f>STDEV(Y24:Y43)</f>
        <v>#DIV/0!</v>
      </c>
      <c r="AB45" s="67"/>
      <c r="AC45" s="7" t="s">
        <v>126</v>
      </c>
      <c r="AD45" s="8">
        <f>STDEV(AD24:AD43)</f>
        <v>27.14853227594439</v>
      </c>
      <c r="AE45" s="8"/>
      <c r="AF45" s="8"/>
      <c r="AG45" s="8"/>
      <c r="AH45" s="7" t="s">
        <v>3</v>
      </c>
      <c r="AI45" s="8">
        <f>STDEV(AI24:AI43)</f>
        <v>9.719567178474028</v>
      </c>
      <c r="AJ45" s="8">
        <f>STDEV(AJ24:AJ43)</f>
        <v>13.705618243549043</v>
      </c>
      <c r="AK45" s="8">
        <f>STDEV(AK24:AK43)</f>
        <v>15.155370974033666</v>
      </c>
      <c r="AL45" s="8" t="e">
        <f>STDEV(AL24:AL43)</f>
        <v>#DIV/0!</v>
      </c>
      <c r="AO45" s="67"/>
      <c r="AP45" s="7" t="s">
        <v>45</v>
      </c>
      <c r="AQ45" s="8">
        <f>STDEV(AQ24:AQ43)</f>
        <v>0.2826834647371094</v>
      </c>
      <c r="AR45" s="8"/>
      <c r="AS45" s="8"/>
      <c r="AT45" s="8"/>
      <c r="AU45" s="7" t="s">
        <v>3</v>
      </c>
      <c r="AV45" s="6">
        <f>STDEV(AV24:AV43)</f>
        <v>0.09471321126514338</v>
      </c>
      <c r="AW45" s="6">
        <f>STDEV(AW24:AW43)</f>
        <v>0.14510576547725268</v>
      </c>
      <c r="AX45" s="6">
        <f>STDEV(AX24:AX43)</f>
        <v>0.14937619293032536</v>
      </c>
      <c r="AY45" s="6" t="e">
        <f>STDEV(AY24:AY43)</f>
        <v>#DIV/0!</v>
      </c>
      <c r="BB45" s="67"/>
      <c r="BC45" s="7" t="s">
        <v>45</v>
      </c>
      <c r="BD45" s="6">
        <f>STDEV(BD24:BD43)</f>
        <v>0.030189115614337465</v>
      </c>
      <c r="BE45" s="6"/>
      <c r="BF45" s="6"/>
      <c r="BG45" s="8"/>
      <c r="BH45" s="7" t="s">
        <v>3</v>
      </c>
      <c r="BI45" s="158">
        <f>STDEV(BI24:BI43)</f>
        <v>0.01009154594872756</v>
      </c>
      <c r="BJ45" s="158">
        <f>STDEV(BJ24:BJ43)</f>
        <v>0.015557769752667209</v>
      </c>
      <c r="BK45" s="158">
        <f>STDEV(BK24:BK43)</f>
        <v>0.01595349697064603</v>
      </c>
      <c r="BL45" s="158" t="e">
        <f>STDEV(BL24:BL43)</f>
        <v>#DIV/0!</v>
      </c>
    </row>
    <row r="46" spans="2:64" ht="12.75">
      <c r="B46" s="37"/>
      <c r="C46" s="7" t="s">
        <v>121</v>
      </c>
      <c r="D46" s="171">
        <f>COUNT(D24:D43)</f>
        <v>20</v>
      </c>
      <c r="E46" s="6"/>
      <c r="F46" s="6"/>
      <c r="G46" s="6"/>
      <c r="H46" s="6"/>
      <c r="I46" s="6"/>
      <c r="J46" s="6"/>
      <c r="K46" s="6"/>
      <c r="L46" s="6"/>
      <c r="P46" s="7" t="s">
        <v>11</v>
      </c>
      <c r="Q46" s="108">
        <f>EXP(Q44/100)</f>
        <v>11.8490791633471</v>
      </c>
      <c r="R46" s="8"/>
      <c r="S46" s="8"/>
      <c r="T46" s="8"/>
      <c r="U46" s="14" t="s">
        <v>186</v>
      </c>
      <c r="V46" s="108">
        <f aca="true" t="shared" si="42" ref="V46:X47">100*EXP(V44/100)-100</f>
        <v>0.2523712529207529</v>
      </c>
      <c r="W46" s="108">
        <f t="shared" si="42"/>
        <v>-0.07279416850036569</v>
      </c>
      <c r="X46" s="108">
        <f t="shared" si="42"/>
        <v>-0.7633465154850256</v>
      </c>
      <c r="Y46" s="108" t="e">
        <f>100*EXP(Y44/100)-100</f>
        <v>#DIV/0!</v>
      </c>
      <c r="AC46" s="7" t="s">
        <v>11</v>
      </c>
      <c r="AD46" s="107">
        <f>PERCENTILE(allraw,AD44/100)</f>
        <v>12</v>
      </c>
      <c r="AE46" s="120"/>
      <c r="AF46" s="120"/>
      <c r="AG46" s="6"/>
      <c r="AH46" s="6"/>
      <c r="AI46" s="6"/>
      <c r="AJ46" s="6"/>
      <c r="AK46" s="6"/>
      <c r="AL46" s="6"/>
      <c r="AO46" s="67"/>
      <c r="AP46" s="7" t="s">
        <v>11</v>
      </c>
      <c r="AQ46" s="108">
        <f>AQ44^2</f>
        <v>11.92408555582601</v>
      </c>
      <c r="AR46" s="6"/>
      <c r="AS46" s="6"/>
      <c r="AT46" s="6"/>
      <c r="AU46" s="6"/>
      <c r="AV46" s="6"/>
      <c r="AW46" s="6"/>
      <c r="AX46" s="6"/>
      <c r="AY46" s="6"/>
      <c r="BB46" s="67"/>
      <c r="BC46" s="7" t="s">
        <v>11</v>
      </c>
      <c r="BD46" s="108">
        <f>100*SIN(BD44)^2</f>
        <v>11.934507895535063</v>
      </c>
      <c r="BE46" s="108"/>
      <c r="BF46" s="108"/>
      <c r="BG46" s="6"/>
      <c r="BH46" s="6"/>
      <c r="BI46" s="6"/>
      <c r="BJ46" s="6"/>
      <c r="BK46" s="6"/>
      <c r="BL46" s="6"/>
    </row>
    <row r="47" spans="2:64" ht="12.75">
      <c r="B47" s="37"/>
      <c r="C47" s="7"/>
      <c r="D47" s="6"/>
      <c r="E47" s="6"/>
      <c r="F47" s="6"/>
      <c r="G47" s="6"/>
      <c r="H47" s="6"/>
      <c r="I47" s="6"/>
      <c r="J47" s="6"/>
      <c r="K47" s="6"/>
      <c r="L47" s="6"/>
      <c r="P47" s="7" t="s">
        <v>12</v>
      </c>
      <c r="Q47" s="108">
        <f>100*EXP(Q45/100)-100</f>
        <v>17.67086871216395</v>
      </c>
      <c r="R47" s="8"/>
      <c r="S47" s="8"/>
      <c r="T47" s="8"/>
      <c r="U47" s="7" t="s">
        <v>12</v>
      </c>
      <c r="V47" s="108">
        <f>100*EXP(V45/100)-100</f>
        <v>5.710123144731298</v>
      </c>
      <c r="W47" s="108">
        <f t="shared" si="42"/>
        <v>8.510150091190553</v>
      </c>
      <c r="X47" s="108">
        <f t="shared" si="42"/>
        <v>8.999974199899668</v>
      </c>
      <c r="Y47" s="108" t="e">
        <f>100*EXP(Y45/100)-100</f>
        <v>#DIV/0!</v>
      </c>
      <c r="AB47" s="67"/>
      <c r="AC47" s="7" t="s">
        <v>90</v>
      </c>
      <c r="AD47" s="107">
        <f>(PERCENTILE(allraw,(AD44+AD45)/100)-PERCENTILE(allraw,(AD44-AD45)/100))/2</f>
        <v>1.6563012194067692</v>
      </c>
      <c r="AE47" s="6"/>
      <c r="AF47" s="6"/>
      <c r="AG47" s="6"/>
      <c r="AH47" s="6"/>
      <c r="AI47" s="6"/>
      <c r="AJ47" s="6"/>
      <c r="AK47" s="6"/>
      <c r="AL47" s="6"/>
      <c r="AO47" s="67"/>
      <c r="AP47" s="7" t="s">
        <v>90</v>
      </c>
      <c r="AQ47" s="108">
        <f>((AQ44+AQ45)^2-(AQ44-AQ45)^2)/2</f>
        <v>1.9522837663172101</v>
      </c>
      <c r="AR47" s="6"/>
      <c r="AS47" s="6"/>
      <c r="AT47" s="6"/>
      <c r="AU47" s="6"/>
      <c r="AV47" s="6"/>
      <c r="AW47" s="6"/>
      <c r="AX47" s="6"/>
      <c r="AY47" s="6"/>
      <c r="BB47" s="67"/>
      <c r="BC47" s="7" t="s">
        <v>90</v>
      </c>
      <c r="BD47" s="108">
        <f>100*(SIN(BD44+BD45)^2-SIN(BD44-BD45)^2)/2</f>
        <v>1.956237694769119</v>
      </c>
      <c r="BE47" s="108"/>
      <c r="BF47" s="108"/>
      <c r="BG47" s="6"/>
      <c r="BH47" s="6"/>
      <c r="BI47" s="6"/>
      <c r="BJ47" s="6"/>
      <c r="BK47" s="6"/>
      <c r="BL47" s="6"/>
    </row>
    <row r="48" spans="2:64" ht="12.75">
      <c r="B48" s="37"/>
      <c r="C48" s="7"/>
      <c r="D48" s="6"/>
      <c r="E48" s="6"/>
      <c r="F48" s="6"/>
      <c r="G48" s="6"/>
      <c r="H48" s="6"/>
      <c r="I48" s="6"/>
      <c r="J48" s="6"/>
      <c r="K48" s="6"/>
      <c r="L48" s="6"/>
      <c r="P48" s="7" t="s">
        <v>13</v>
      </c>
      <c r="Q48" s="107">
        <f>EXP(Q45/100)</f>
        <v>1.1767086871216395</v>
      </c>
      <c r="R48" s="6"/>
      <c r="S48" s="6"/>
      <c r="T48" s="6"/>
      <c r="U48" s="7" t="s">
        <v>168</v>
      </c>
      <c r="V48" s="111">
        <f aca="true" t="shared" si="43" ref="V48:Y49">EXP(V44/100)</f>
        <v>1.0025237125292075</v>
      </c>
      <c r="W48" s="111">
        <f t="shared" si="43"/>
        <v>0.9992720583149963</v>
      </c>
      <c r="X48" s="111">
        <f t="shared" si="43"/>
        <v>0.9923665348451497</v>
      </c>
      <c r="Y48" s="111" t="e">
        <f t="shared" si="43"/>
        <v>#DIV/0!</v>
      </c>
      <c r="AB48" s="67"/>
      <c r="AC48" s="7"/>
      <c r="AD48" s="6"/>
      <c r="AE48" s="6"/>
      <c r="AF48" s="6"/>
      <c r="AG48" s="6"/>
      <c r="AH48" s="6"/>
      <c r="AI48" s="6"/>
      <c r="AJ48" s="6"/>
      <c r="AK48" s="6"/>
      <c r="AL48" s="6"/>
      <c r="AO48" s="67"/>
      <c r="AP48" s="7"/>
      <c r="AQ48" s="6"/>
      <c r="AR48" s="6"/>
      <c r="AS48" s="6"/>
      <c r="AT48" s="6"/>
      <c r="AU48" s="6"/>
      <c r="AV48" s="6"/>
      <c r="AW48" s="6"/>
      <c r="AX48" s="6"/>
      <c r="AY48" s="6"/>
      <c r="BB48" s="67"/>
      <c r="BC48" s="7"/>
      <c r="BD48" s="6"/>
      <c r="BE48" s="6"/>
      <c r="BF48" s="6"/>
      <c r="BG48" s="6"/>
      <c r="BH48" s="6"/>
      <c r="BI48" s="6"/>
      <c r="BJ48" s="6"/>
      <c r="BK48" s="6"/>
      <c r="BL48" s="6"/>
    </row>
    <row r="49" spans="2:64" ht="12.75">
      <c r="B49" s="37"/>
      <c r="C49" s="7"/>
      <c r="D49" s="6"/>
      <c r="E49" s="6"/>
      <c r="F49" s="6"/>
      <c r="G49" s="6"/>
      <c r="H49" s="6"/>
      <c r="I49" s="6"/>
      <c r="J49" s="6"/>
      <c r="K49" s="6"/>
      <c r="L49" s="6"/>
      <c r="P49" s="7"/>
      <c r="Q49" s="6"/>
      <c r="R49" s="6"/>
      <c r="S49" s="6"/>
      <c r="T49" s="6"/>
      <c r="U49" s="7" t="s">
        <v>13</v>
      </c>
      <c r="V49" s="107">
        <f>EXP(V45/100)</f>
        <v>1.057101231447313</v>
      </c>
      <c r="W49" s="107">
        <f t="shared" si="43"/>
        <v>1.0851015009119056</v>
      </c>
      <c r="X49" s="107">
        <f t="shared" si="43"/>
        <v>1.0899997419989966</v>
      </c>
      <c r="Y49" s="107" t="e">
        <f t="shared" si="43"/>
        <v>#DIV/0!</v>
      </c>
      <c r="AB49" s="67"/>
      <c r="AC49" s="7"/>
      <c r="AD49" s="6"/>
      <c r="AE49" s="6"/>
      <c r="AF49" s="6"/>
      <c r="AG49" s="6"/>
      <c r="AH49" s="6"/>
      <c r="AI49" s="6"/>
      <c r="AJ49" s="6"/>
      <c r="AK49" s="6"/>
      <c r="AL49" s="6"/>
      <c r="AO49" s="67"/>
      <c r="AP49" s="7"/>
      <c r="AQ49" s="6"/>
      <c r="AR49" s="6"/>
      <c r="AS49" s="6"/>
      <c r="AT49" s="6"/>
      <c r="AU49" s="6"/>
      <c r="AV49" s="6"/>
      <c r="AW49" s="6"/>
      <c r="AX49" s="6"/>
      <c r="AY49" s="6"/>
      <c r="BB49" s="67"/>
      <c r="BC49" s="7"/>
      <c r="BD49" s="6"/>
      <c r="BE49" s="6"/>
      <c r="BF49" s="6"/>
      <c r="BG49" s="6"/>
      <c r="BH49" s="6"/>
      <c r="BI49" s="6"/>
      <c r="BJ49" s="6"/>
      <c r="BK49" s="6"/>
      <c r="BL49" s="6"/>
    </row>
    <row r="50" spans="9:64" ht="12.75">
      <c r="I50" s="1"/>
      <c r="J50" s="1"/>
      <c r="K50" s="1"/>
      <c r="L50" s="1"/>
      <c r="O50" s="9"/>
      <c r="Q50" s="1"/>
      <c r="R50" s="1"/>
      <c r="S50" s="1"/>
      <c r="T50" s="1"/>
      <c r="U50" s="1"/>
      <c r="V50" s="1"/>
      <c r="W50" s="1"/>
      <c r="X50" s="1"/>
      <c r="Y50" s="1"/>
      <c r="AB50" s="67"/>
      <c r="AI50" s="1"/>
      <c r="AJ50" s="1"/>
      <c r="AK50" s="1"/>
      <c r="AL50" s="1"/>
      <c r="AO50" s="67"/>
      <c r="AV50" s="1"/>
      <c r="AW50" s="1"/>
      <c r="AX50" s="1"/>
      <c r="AY50" s="1"/>
      <c r="BB50" s="67"/>
      <c r="BI50" s="1"/>
      <c r="BJ50" s="1"/>
      <c r="BK50" s="1"/>
      <c r="BL50" s="1"/>
    </row>
    <row r="51" spans="2:64" ht="12.75">
      <c r="B51" s="118" t="s">
        <v>41</v>
      </c>
      <c r="C51" s="118" t="s">
        <v>60</v>
      </c>
      <c r="D51" s="22">
        <v>13.6</v>
      </c>
      <c r="E51" s="22">
        <v>12.4</v>
      </c>
      <c r="F51" s="22">
        <v>12.1</v>
      </c>
      <c r="H51" s="3"/>
      <c r="I51" s="5">
        <f aca="true" t="shared" si="44" ref="I51:I70">IF(AND(ISNUMBER(E51),ISNUMBER(D51)),E51-D51,"miss")</f>
        <v>-1.1999999999999993</v>
      </c>
      <c r="J51" s="5">
        <f aca="true" t="shared" si="45" ref="J51:J70">IF(AND(ISNUMBER(F51),ISNUMBER(D51)),F51-D51,"miss")</f>
        <v>-1.5</v>
      </c>
      <c r="K51" s="5">
        <f aca="true" t="shared" si="46" ref="K51:K70">IF(AND(ISNUMBER(F51),ISNUMBER(E51)),F51-E51,"miss")</f>
        <v>-0.3000000000000007</v>
      </c>
      <c r="L51" s="5"/>
      <c r="O51" s="71" t="str">
        <f>B51</f>
        <v>Exptal</v>
      </c>
      <c r="P51" s="72" t="str">
        <f>C51</f>
        <v>Kelly</v>
      </c>
      <c r="Q51" s="5">
        <f aca="true" t="shared" si="47" ref="Q51:Q70">IF(ISERROR(100*LN(D51)),"miss",100*LN(D51))</f>
        <v>261.00697927420066</v>
      </c>
      <c r="R51" s="5">
        <f aca="true" t="shared" si="48" ref="R51:R70">IF(ISERROR(100*LN(E51)),"miss",100*LN(E51))</f>
        <v>251.76964726109912</v>
      </c>
      <c r="S51" s="5">
        <f aca="true" t="shared" si="49" ref="S51:S70">IF(ISERROR(100*LN(F51)),"miss",100*LN(F51))</f>
        <v>249.32054526026954</v>
      </c>
      <c r="T51" s="5"/>
      <c r="U51" s="5"/>
      <c r="V51" s="5">
        <f>IF(AND(ISNUMBER(R51),ISNUMBER(Q51)),R51-Q51,"miss")</f>
        <v>-9.237332013101536</v>
      </c>
      <c r="W51" s="5">
        <f>IF(AND(ISNUMBER(S51),ISNUMBER(Q51)),S51-Q51,"miss")</f>
        <v>-11.68643401393112</v>
      </c>
      <c r="X51" s="5">
        <f>IF(AND(ISNUMBER(S51),ISNUMBER(R51)),S51-R51,"miss")</f>
        <v>-2.4491020008295834</v>
      </c>
      <c r="Y51" s="5"/>
      <c r="AB51" s="71" t="str">
        <f>O51</f>
        <v>Exptal</v>
      </c>
      <c r="AC51" s="72" t="str">
        <f>P51</f>
        <v>Kelly</v>
      </c>
      <c r="AD51" s="58">
        <f>IF(ISNUMBER(D51),RANK(D51,allraw,1)/$D$81*100,"miss")</f>
        <v>78.99159663865547</v>
      </c>
      <c r="AE51" s="58">
        <f aca="true" t="shared" si="50" ref="AE51:AE70">IF(ISNUMBER(E51),RANK(E51,allraw,1)/$D$81*100,"miss")</f>
        <v>58.82352941176471</v>
      </c>
      <c r="AF51" s="58">
        <f aca="true" t="shared" si="51" ref="AF51:AF70">IF(ISNUMBER(F51),RANK(F51,allraw,1)/$D$81*100,"miss")</f>
        <v>53.78151260504202</v>
      </c>
      <c r="AG51" s="3"/>
      <c r="AH51" s="3"/>
      <c r="AI51" s="58">
        <f>IF(AND(ISNUMBER(AE51),ISNUMBER(AD51)),AE51-AD51,"miss")</f>
        <v>-20.168067226890756</v>
      </c>
      <c r="AJ51" s="58">
        <f>IF(AND(ISNUMBER(AF51),ISNUMBER(AD51)),AF51-AD51,"miss")</f>
        <v>-25.210084033613448</v>
      </c>
      <c r="AK51" s="58">
        <f>IF(AND(ISNUMBER(AF51),ISNUMBER(AE51)),AF51-AE51,"miss")</f>
        <v>-5.0420168067226925</v>
      </c>
      <c r="AL51" s="58"/>
      <c r="AO51" s="71" t="str">
        <f>AB51</f>
        <v>Exptal</v>
      </c>
      <c r="AP51" s="72" t="str">
        <f>AC51</f>
        <v>Kelly</v>
      </c>
      <c r="AQ51" s="5">
        <f>IF(ISNUMBER(D51),SQRT(D51),"miss")</f>
        <v>3.687817782917155</v>
      </c>
      <c r="AR51" s="5">
        <f aca="true" t="shared" si="52" ref="AR51:AR70">IF(ISNUMBER(E51),SQRT(E51),"miss")</f>
        <v>3.521363372331802</v>
      </c>
      <c r="AS51" s="5">
        <f aca="true" t="shared" si="53" ref="AS51:AS70">IF(ISNUMBER(F51),SQRT(F51),"miss")</f>
        <v>3.478505426185217</v>
      </c>
      <c r="AT51" s="3"/>
      <c r="AU51" s="3"/>
      <c r="AV51" s="5">
        <f>IF(AND(ISNUMBER(AR51),ISNUMBER(AQ51)),AR51-AQ51,"miss")</f>
        <v>-0.16645441058535315</v>
      </c>
      <c r="AW51" s="5">
        <f>IF(AND(ISNUMBER(AS51),ISNUMBER(AQ51)),AS51-AQ51,"miss")</f>
        <v>-0.20931235673193793</v>
      </c>
      <c r="AX51" s="5">
        <f>IF(AND(ISNUMBER(AS51),ISNUMBER(AR51)),AS51-AR51,"miss")</f>
        <v>-0.04285794614658478</v>
      </c>
      <c r="AY51" s="5"/>
      <c r="BB51" s="71" t="str">
        <f>AO51</f>
        <v>Exptal</v>
      </c>
      <c r="BC51" s="72" t="str">
        <f>AP51</f>
        <v>Kelly</v>
      </c>
      <c r="BD51" s="156">
        <f>IF(ISNUMBER(Q51),ASIN(SQRT(D51/100)),"miss")</f>
        <v>0.3776980815186813</v>
      </c>
      <c r="BE51" s="156">
        <f aca="true" t="shared" si="54" ref="BE51:BE70">IF(ISNUMBER(R51),ASIN(SQRT(E51/100)),"miss")</f>
        <v>0.3598526630123081</v>
      </c>
      <c r="BF51" s="156">
        <f aca="true" t="shared" si="55" ref="BF51:BF70">IF(ISNUMBER(S51),ASIN(SQRT(F51/100)),"miss")</f>
        <v>0.35527749346034315</v>
      </c>
      <c r="BG51" s="3"/>
      <c r="BH51" s="3"/>
      <c r="BI51" s="157">
        <f>IF(AND(ISNUMBER(BE51),ISNUMBER(BD51)),BE51-BD51,"miss")</f>
        <v>-0.017845418506373167</v>
      </c>
      <c r="BJ51" s="157">
        <f>IF(AND(ISNUMBER(BF51),ISNUMBER(BD51)),BF51-BD51,"miss")</f>
        <v>-0.02242058805833813</v>
      </c>
      <c r="BK51" s="157">
        <f>IF(AND(ISNUMBER(BF51),ISNUMBER(BE51)),BF51-BE51,"miss")</f>
        <v>-0.004575169551964964</v>
      </c>
      <c r="BL51" s="157"/>
    </row>
    <row r="52" spans="2:64" ht="12.75">
      <c r="B52" s="71" t="str">
        <f>B51</f>
        <v>Exptal</v>
      </c>
      <c r="C52" s="118" t="s">
        <v>81</v>
      </c>
      <c r="D52" s="22">
        <v>13.5</v>
      </c>
      <c r="E52" s="22">
        <v>13</v>
      </c>
      <c r="F52" s="22">
        <v>13.7</v>
      </c>
      <c r="H52" s="3"/>
      <c r="I52" s="5">
        <f>IF(AND(ISNUMBER(E52),ISNUMBER(D52)),E52-D52,"miss")</f>
        <v>-0.5</v>
      </c>
      <c r="J52" s="5">
        <f>IF(AND(ISNUMBER(F52),ISNUMBER(D52)),F52-D52,"miss")</f>
        <v>0.1999999999999993</v>
      </c>
      <c r="K52" s="5">
        <f>IF(AND(ISNUMBER(F52),ISNUMBER(E52)),F52-E52,"miss")</f>
        <v>0.6999999999999993</v>
      </c>
      <c r="L52" s="5"/>
      <c r="O52" s="71" t="str">
        <f>B52</f>
        <v>Exptal</v>
      </c>
      <c r="P52" s="72" t="str">
        <f aca="true" t="shared" si="56" ref="P52:P60">C52</f>
        <v>Kennedy</v>
      </c>
      <c r="Q52" s="5">
        <f t="shared" si="47"/>
        <v>260.2689685444384</v>
      </c>
      <c r="R52" s="5">
        <f t="shared" si="48"/>
        <v>256.49493574615366</v>
      </c>
      <c r="S52" s="5">
        <f t="shared" si="49"/>
        <v>261.7395832834079</v>
      </c>
      <c r="T52" s="5"/>
      <c r="U52" s="5"/>
      <c r="V52" s="5">
        <f>IF(AND(ISNUMBER(R52),ISNUMBER(Q52)),R52-Q52,"miss")</f>
        <v>-3.774032798284736</v>
      </c>
      <c r="W52" s="5">
        <f>IF(AND(ISNUMBER(S52),ISNUMBER(Q52)),S52-Q52,"miss")</f>
        <v>1.470614738969516</v>
      </c>
      <c r="X52" s="5">
        <f>IF(AND(ISNUMBER(S52),ISNUMBER(R52)),S52-R52,"miss")</f>
        <v>5.244647537254252</v>
      </c>
      <c r="Y52" s="5"/>
      <c r="AB52" s="71" t="str">
        <f>O52</f>
        <v>Exptal</v>
      </c>
      <c r="AC52" s="72" t="str">
        <f>P52</f>
        <v>Kennedy</v>
      </c>
      <c r="AD52" s="58">
        <f aca="true" t="shared" si="57" ref="AD52:AD70">IF(ISNUMBER(D52),RANK(D52,allraw,1)/$D$81*100,"miss")</f>
        <v>77.31092436974791</v>
      </c>
      <c r="AE52" s="58">
        <f t="shared" si="50"/>
        <v>68.0672268907563</v>
      </c>
      <c r="AF52" s="58">
        <f t="shared" si="51"/>
        <v>82.35294117647058</v>
      </c>
      <c r="AG52" s="3"/>
      <c r="AH52" s="3"/>
      <c r="AI52" s="58">
        <f>IF(AND(ISNUMBER(AE52),ISNUMBER(AD52)),AE52-AD52,"miss")</f>
        <v>-9.243697478991606</v>
      </c>
      <c r="AJ52" s="58">
        <f>IF(AND(ISNUMBER(AF52),ISNUMBER(AD52)),AF52-AD52,"miss")</f>
        <v>5.042016806722671</v>
      </c>
      <c r="AK52" s="58">
        <f>IF(AND(ISNUMBER(AF52),ISNUMBER(AE52)),AF52-AE52,"miss")</f>
        <v>14.285714285714278</v>
      </c>
      <c r="AL52" s="58"/>
      <c r="AO52" s="71" t="str">
        <f>AB52</f>
        <v>Exptal</v>
      </c>
      <c r="AP52" s="72" t="str">
        <f>AC52</f>
        <v>Kennedy</v>
      </c>
      <c r="AQ52" s="5">
        <f>IF(ISNUMBER(D52),SQRT(D52),"miss")</f>
        <v>3.6742346141747673</v>
      </c>
      <c r="AR52" s="5">
        <f t="shared" si="52"/>
        <v>3.605551275463989</v>
      </c>
      <c r="AS52" s="5">
        <f t="shared" si="53"/>
        <v>3.7013511046643495</v>
      </c>
      <c r="AT52" s="3"/>
      <c r="AU52" s="3"/>
      <c r="AV52" s="5">
        <f>IF(AND(ISNUMBER(AR52),ISNUMBER(AQ52)),AR52-AQ52,"miss")</f>
        <v>-0.06868333871077814</v>
      </c>
      <c r="AW52" s="5">
        <f>IF(AND(ISNUMBER(AS52),ISNUMBER(AQ52)),AS52-AQ52,"miss")</f>
        <v>0.0271164904895822</v>
      </c>
      <c r="AX52" s="5">
        <f>IF(AND(ISNUMBER(AS52),ISNUMBER(AR52)),AS52-AR52,"miss")</f>
        <v>0.09579982920036034</v>
      </c>
      <c r="AY52" s="5"/>
      <c r="BB52" s="71" t="str">
        <f aca="true" t="shared" si="58" ref="BB52:BB62">AO52</f>
        <v>Exptal</v>
      </c>
      <c r="BC52" s="72" t="str">
        <f aca="true" t="shared" si="59" ref="BC52:BC62">AP52</f>
        <v>Kennedy</v>
      </c>
      <c r="BD52" s="156">
        <f aca="true" t="shared" si="60" ref="BD52:BD70">IF(ISNUMBER(Q52),ASIN(SQRT(D52/100)),"miss")</f>
        <v>0.37623718808166845</v>
      </c>
      <c r="BE52" s="156">
        <f t="shared" si="54"/>
        <v>0.36886298422662445</v>
      </c>
      <c r="BF52" s="156">
        <f t="shared" si="55"/>
        <v>0.3791544563921582</v>
      </c>
      <c r="BG52" s="3"/>
      <c r="BH52" s="3"/>
      <c r="BI52" s="157">
        <f>IF(AND(ISNUMBER(BE52),ISNUMBER(BD52)),BE52-BD52,"miss")</f>
        <v>-0.007374203855044004</v>
      </c>
      <c r="BJ52" s="157">
        <f>IF(AND(ISNUMBER(BF52),ISNUMBER(BD52)),BF52-BD52,"miss")</f>
        <v>0.0029172683104897734</v>
      </c>
      <c r="BK52" s="157">
        <f>IF(AND(ISNUMBER(BF52),ISNUMBER(BE52)),BF52-BE52,"miss")</f>
        <v>0.010291472165533777</v>
      </c>
      <c r="BL52" s="157"/>
    </row>
    <row r="53" spans="2:64" ht="12.75">
      <c r="B53" s="71" t="str">
        <f aca="true" t="shared" si="61" ref="B53:B70">B52</f>
        <v>Exptal</v>
      </c>
      <c r="C53" s="118" t="s">
        <v>61</v>
      </c>
      <c r="D53" s="22">
        <v>14</v>
      </c>
      <c r="E53" s="22">
        <v>13.7</v>
      </c>
      <c r="F53" s="22">
        <v>13.6</v>
      </c>
      <c r="H53" s="3"/>
      <c r="I53" s="5">
        <f t="shared" si="44"/>
        <v>-0.3000000000000007</v>
      </c>
      <c r="J53" s="5">
        <f t="shared" si="45"/>
        <v>-0.40000000000000036</v>
      </c>
      <c r="K53" s="5">
        <f t="shared" si="46"/>
        <v>-0.09999999999999964</v>
      </c>
      <c r="L53" s="5"/>
      <c r="O53" s="71" t="str">
        <f aca="true" t="shared" si="62" ref="O53:O70">B53</f>
        <v>Exptal</v>
      </c>
      <c r="P53" s="72" t="str">
        <f t="shared" si="56"/>
        <v>Kerry</v>
      </c>
      <c r="Q53" s="5">
        <f t="shared" si="47"/>
        <v>263.9057329615258</v>
      </c>
      <c r="R53" s="5">
        <f t="shared" si="48"/>
        <v>261.7395832834079</v>
      </c>
      <c r="S53" s="5">
        <f t="shared" si="49"/>
        <v>261.00697927420066</v>
      </c>
      <c r="T53" s="5"/>
      <c r="U53" s="5"/>
      <c r="V53" s="5">
        <f>IF(AND(ISNUMBER(R53),ISNUMBER(Q53)),R53-Q53,"miss")</f>
        <v>-2.166149678117904</v>
      </c>
      <c r="W53" s="5">
        <f>IF(AND(ISNUMBER(S53),ISNUMBER(Q53)),S53-Q53,"miss")</f>
        <v>-2.8987536873251543</v>
      </c>
      <c r="X53" s="5">
        <f>IF(AND(ISNUMBER(S53),ISNUMBER(R53)),S53-R53,"miss")</f>
        <v>-0.7326040092072503</v>
      </c>
      <c r="Y53" s="5"/>
      <c r="AB53" s="71" t="str">
        <f aca="true" t="shared" si="63" ref="AB53:AB70">O53</f>
        <v>Exptal</v>
      </c>
      <c r="AC53" s="72" t="str">
        <f aca="true" t="shared" si="64" ref="AC53:AC70">P53</f>
        <v>Kerry</v>
      </c>
      <c r="AD53" s="58">
        <f t="shared" si="57"/>
        <v>87.39495798319328</v>
      </c>
      <c r="AE53" s="58">
        <f t="shared" si="50"/>
        <v>82.35294117647058</v>
      </c>
      <c r="AF53" s="58">
        <f t="shared" si="51"/>
        <v>78.99159663865547</v>
      </c>
      <c r="AG53" s="3"/>
      <c r="AH53" s="3"/>
      <c r="AI53" s="58">
        <f>IF(AND(ISNUMBER(AE53),ISNUMBER(AD53)),AE53-AD53,"miss")</f>
        <v>-5.0420168067227</v>
      </c>
      <c r="AJ53" s="58">
        <f>IF(AND(ISNUMBER(AF53),ISNUMBER(AD53)),AF53-AD53,"miss")</f>
        <v>-8.403361344537814</v>
      </c>
      <c r="AK53" s="58">
        <f>IF(AND(ISNUMBER(AF53),ISNUMBER(AE53)),AF53-AE53,"miss")</f>
        <v>-3.361344537815114</v>
      </c>
      <c r="AL53" s="58"/>
      <c r="AO53" s="71" t="str">
        <f aca="true" t="shared" si="65" ref="AO53:AO70">AB53</f>
        <v>Exptal</v>
      </c>
      <c r="AP53" s="72" t="str">
        <f aca="true" t="shared" si="66" ref="AP53:AP70">AC53</f>
        <v>Kerry</v>
      </c>
      <c r="AQ53" s="5">
        <f aca="true" t="shared" si="67" ref="AQ53:AQ70">IF(ISNUMBER(D53),SQRT(D53),"miss")</f>
        <v>3.7416573867739413</v>
      </c>
      <c r="AR53" s="5">
        <f t="shared" si="52"/>
        <v>3.7013511046643495</v>
      </c>
      <c r="AS53" s="5">
        <f t="shared" si="53"/>
        <v>3.687817782917155</v>
      </c>
      <c r="AT53" s="3"/>
      <c r="AU53" s="3"/>
      <c r="AV53" s="5">
        <f>IF(AND(ISNUMBER(AR53),ISNUMBER(AQ53)),AR53-AQ53,"miss")</f>
        <v>-0.04030628210959186</v>
      </c>
      <c r="AW53" s="5">
        <f>IF(AND(ISNUMBER(AS53),ISNUMBER(AQ53)),AS53-AQ53,"miss")</f>
        <v>-0.05383960385678632</v>
      </c>
      <c r="AX53" s="5">
        <f>IF(AND(ISNUMBER(AS53),ISNUMBER(AR53)),AS53-AR53,"miss")</f>
        <v>-0.01353332174719446</v>
      </c>
      <c r="AY53" s="5"/>
      <c r="BB53" s="71" t="str">
        <f t="shared" si="58"/>
        <v>Exptal</v>
      </c>
      <c r="BC53" s="72" t="str">
        <f t="shared" si="59"/>
        <v>Kerry</v>
      </c>
      <c r="BD53" s="156">
        <f t="shared" si="60"/>
        <v>0.38349700393093333</v>
      </c>
      <c r="BE53" s="156">
        <f t="shared" si="54"/>
        <v>0.3791544563921582</v>
      </c>
      <c r="BF53" s="156">
        <f t="shared" si="55"/>
        <v>0.3776980815186813</v>
      </c>
      <c r="BG53" s="3"/>
      <c r="BH53" s="3"/>
      <c r="BI53" s="157">
        <f>IF(AND(ISNUMBER(BE53),ISNUMBER(BD53)),BE53-BD53,"miss")</f>
        <v>-0.00434254753877511</v>
      </c>
      <c r="BJ53" s="157">
        <f>IF(AND(ISNUMBER(BF53),ISNUMBER(BD53)),BF53-BD53,"miss")</f>
        <v>-0.00579892241225205</v>
      </c>
      <c r="BK53" s="157">
        <f>IF(AND(ISNUMBER(BF53),ISNUMBER(BE53)),BF53-BE53,"miss")</f>
        <v>-0.00145637487347694</v>
      </c>
      <c r="BL53" s="157"/>
    </row>
    <row r="54" spans="2:64" ht="12.75">
      <c r="B54" s="71" t="str">
        <f t="shared" si="61"/>
        <v>Exptal</v>
      </c>
      <c r="C54" s="118" t="s">
        <v>62</v>
      </c>
      <c r="D54" s="22">
        <v>7.4</v>
      </c>
      <c r="E54" s="22">
        <v>6.3</v>
      </c>
      <c r="F54" s="22">
        <v>8.1</v>
      </c>
      <c r="H54" s="3"/>
      <c r="I54" s="5">
        <f t="shared" si="44"/>
        <v>-1.1000000000000005</v>
      </c>
      <c r="J54" s="5">
        <f t="shared" si="45"/>
        <v>0.6999999999999993</v>
      </c>
      <c r="K54" s="5">
        <f t="shared" si="46"/>
        <v>1.7999999999999998</v>
      </c>
      <c r="L54" s="5"/>
      <c r="O54" s="71" t="str">
        <f t="shared" si="62"/>
        <v>Exptal</v>
      </c>
      <c r="P54" s="72" t="str">
        <f t="shared" si="56"/>
        <v>Kieran</v>
      </c>
      <c r="Q54" s="5">
        <f t="shared" si="47"/>
        <v>200.14800002101242</v>
      </c>
      <c r="R54" s="5">
        <f t="shared" si="48"/>
        <v>184.0549633397487</v>
      </c>
      <c r="S54" s="5">
        <f t="shared" si="49"/>
        <v>209.18640616783932</v>
      </c>
      <c r="T54" s="5"/>
      <c r="U54" s="5"/>
      <c r="V54" s="5">
        <f aca="true" t="shared" si="68" ref="V54:V70">IF(AND(ISNUMBER(R54),ISNUMBER(Q54)),R54-Q54,"miss")</f>
        <v>-16.093036681263726</v>
      </c>
      <c r="W54" s="5">
        <f aca="true" t="shared" si="69" ref="W54:W70">IF(AND(ISNUMBER(S54),ISNUMBER(Q54)),S54-Q54,"miss")</f>
        <v>9.038406146826901</v>
      </c>
      <c r="X54" s="5">
        <f aca="true" t="shared" si="70" ref="X54:X70">IF(AND(ISNUMBER(S54),ISNUMBER(R54)),S54-R54,"miss")</f>
        <v>25.131442828090627</v>
      </c>
      <c r="Y54" s="5"/>
      <c r="AB54" s="71" t="str">
        <f t="shared" si="63"/>
        <v>Exptal</v>
      </c>
      <c r="AC54" s="72" t="str">
        <f t="shared" si="64"/>
        <v>Kieran</v>
      </c>
      <c r="AD54" s="58">
        <f t="shared" si="57"/>
        <v>2.5210084033613445</v>
      </c>
      <c r="AE54" s="58">
        <f t="shared" si="50"/>
        <v>0.8403361344537815</v>
      </c>
      <c r="AF54" s="58">
        <f t="shared" si="51"/>
        <v>5.88235294117647</v>
      </c>
      <c r="AG54" s="3"/>
      <c r="AH54" s="3"/>
      <c r="AI54" s="58">
        <f aca="true" t="shared" si="71" ref="AI54:AI70">IF(AND(ISNUMBER(AE54),ISNUMBER(AD54)),AE54-AD54,"miss")</f>
        <v>-1.6806722689075628</v>
      </c>
      <c r="AJ54" s="58">
        <f aca="true" t="shared" si="72" ref="AJ54:AJ70">IF(AND(ISNUMBER(AF54),ISNUMBER(AD54)),AF54-AD54,"miss")</f>
        <v>3.3613445378151257</v>
      </c>
      <c r="AK54" s="58">
        <f aca="true" t="shared" si="73" ref="AK54:AK70">IF(AND(ISNUMBER(AF54),ISNUMBER(AE54)),AF54-AE54,"miss")</f>
        <v>5.042016806722689</v>
      </c>
      <c r="AL54" s="58"/>
      <c r="AO54" s="71" t="str">
        <f t="shared" si="65"/>
        <v>Exptal</v>
      </c>
      <c r="AP54" s="72" t="str">
        <f t="shared" si="66"/>
        <v>Kieran</v>
      </c>
      <c r="AQ54" s="5">
        <f t="shared" si="67"/>
        <v>2.7202941017470885</v>
      </c>
      <c r="AR54" s="5">
        <f t="shared" si="52"/>
        <v>2.5099800796022267</v>
      </c>
      <c r="AS54" s="5">
        <f t="shared" si="53"/>
        <v>2.8460498941515415</v>
      </c>
      <c r="AT54" s="3"/>
      <c r="AU54" s="3"/>
      <c r="AV54" s="5">
        <f aca="true" t="shared" si="74" ref="AV54:AV70">IF(AND(ISNUMBER(AR54),ISNUMBER(AQ54)),AR54-AQ54,"miss")</f>
        <v>-0.21031402214486183</v>
      </c>
      <c r="AW54" s="5">
        <f aca="true" t="shared" si="75" ref="AW54:AW70">IF(AND(ISNUMBER(AS54),ISNUMBER(AQ54)),AS54-AQ54,"miss")</f>
        <v>0.125755792404453</v>
      </c>
      <c r="AX54" s="5">
        <f aca="true" t="shared" si="76" ref="AX54:AX70">IF(AND(ISNUMBER(AS54),ISNUMBER(AR54)),AS54-AR54,"miss")</f>
        <v>0.33606981454931484</v>
      </c>
      <c r="AY54" s="5"/>
      <c r="BB54" s="71" t="str">
        <f t="shared" si="58"/>
        <v>Exptal</v>
      </c>
      <c r="BC54" s="72" t="str">
        <f t="shared" si="59"/>
        <v>Kieran</v>
      </c>
      <c r="BD54" s="156">
        <f t="shared" si="60"/>
        <v>0.27550134531625764</v>
      </c>
      <c r="BE54" s="156">
        <f t="shared" si="54"/>
        <v>0.25371113070835816</v>
      </c>
      <c r="BF54" s="156">
        <f t="shared" si="55"/>
        <v>0.28859435195061733</v>
      </c>
      <c r="BG54" s="3"/>
      <c r="BH54" s="3"/>
      <c r="BI54" s="157">
        <f aca="true" t="shared" si="77" ref="BI54:BI62">IF(AND(ISNUMBER(BE54),ISNUMBER(BD54)),BE54-BD54,"miss")</f>
        <v>-0.021790214607899483</v>
      </c>
      <c r="BJ54" s="157">
        <f aca="true" t="shared" si="78" ref="BJ54:BJ62">IF(AND(ISNUMBER(BF54),ISNUMBER(BD54)),BF54-BD54,"miss")</f>
        <v>0.013093006634359694</v>
      </c>
      <c r="BK54" s="157">
        <f aca="true" t="shared" si="79" ref="BK54:BK62">IF(AND(ISNUMBER(BF54),ISNUMBER(BE54)),BF54-BE54,"miss")</f>
        <v>0.03488322124225918</v>
      </c>
      <c r="BL54" s="157"/>
    </row>
    <row r="55" spans="2:64" ht="12.75">
      <c r="B55" s="71" t="str">
        <f t="shared" si="61"/>
        <v>Exptal</v>
      </c>
      <c r="C55" s="118" t="s">
        <v>72</v>
      </c>
      <c r="D55" s="22">
        <v>15.3</v>
      </c>
      <c r="E55" s="22">
        <v>14.3</v>
      </c>
      <c r="F55" s="22">
        <v>14.2</v>
      </c>
      <c r="H55" s="3"/>
      <c r="I55" s="5">
        <f t="shared" si="44"/>
        <v>-1</v>
      </c>
      <c r="J55" s="5">
        <f t="shared" si="45"/>
        <v>-1.1000000000000014</v>
      </c>
      <c r="K55" s="5">
        <f t="shared" si="46"/>
        <v>-0.10000000000000142</v>
      </c>
      <c r="L55" s="5"/>
      <c r="O55" s="71" t="str">
        <f t="shared" si="62"/>
        <v>Exptal</v>
      </c>
      <c r="P55" s="72" t="str">
        <f t="shared" si="56"/>
        <v>Kim</v>
      </c>
      <c r="Q55" s="5">
        <f t="shared" si="47"/>
        <v>272.785282839839</v>
      </c>
      <c r="R55" s="5">
        <f t="shared" si="48"/>
        <v>266.0259537265861</v>
      </c>
      <c r="S55" s="5">
        <f t="shared" si="49"/>
        <v>265.3241964607215</v>
      </c>
      <c r="T55" s="5"/>
      <c r="U55" s="5"/>
      <c r="V55" s="5">
        <f t="shared" si="68"/>
        <v>-6.759329113252875</v>
      </c>
      <c r="W55" s="5">
        <f t="shared" si="69"/>
        <v>-7.461086379117489</v>
      </c>
      <c r="X55" s="5">
        <f t="shared" si="70"/>
        <v>-0.7017572658646145</v>
      </c>
      <c r="Y55" s="5"/>
      <c r="AB55" s="71" t="str">
        <f t="shared" si="63"/>
        <v>Exptal</v>
      </c>
      <c r="AC55" s="72" t="str">
        <f t="shared" si="64"/>
        <v>Kim</v>
      </c>
      <c r="AD55" s="58">
        <f t="shared" si="57"/>
        <v>94.11764705882352</v>
      </c>
      <c r="AE55" s="58">
        <f t="shared" si="50"/>
        <v>90.75630252100841</v>
      </c>
      <c r="AF55" s="58">
        <f t="shared" si="51"/>
        <v>89.07563025210085</v>
      </c>
      <c r="AG55" s="3"/>
      <c r="AH55" s="3"/>
      <c r="AI55" s="58">
        <f t="shared" si="71"/>
        <v>-3.361344537815114</v>
      </c>
      <c r="AJ55" s="58">
        <f t="shared" si="72"/>
        <v>-5.042016806722671</v>
      </c>
      <c r="AK55" s="58">
        <f t="shared" si="73"/>
        <v>-1.680672268907557</v>
      </c>
      <c r="AL55" s="58"/>
      <c r="AO55" s="71" t="str">
        <f t="shared" si="65"/>
        <v>Exptal</v>
      </c>
      <c r="AP55" s="72" t="str">
        <f t="shared" si="66"/>
        <v>Kim</v>
      </c>
      <c r="AQ55" s="5">
        <f t="shared" si="67"/>
        <v>3.9115214431215892</v>
      </c>
      <c r="AR55" s="5">
        <f t="shared" si="52"/>
        <v>3.7815340802378077</v>
      </c>
      <c r="AS55" s="5">
        <f t="shared" si="53"/>
        <v>3.7682887362833544</v>
      </c>
      <c r="AT55" s="3"/>
      <c r="AU55" s="3"/>
      <c r="AV55" s="5">
        <f t="shared" si="74"/>
        <v>-0.12998736288378154</v>
      </c>
      <c r="AW55" s="5">
        <f t="shared" si="75"/>
        <v>-0.14323270683823486</v>
      </c>
      <c r="AX55" s="5">
        <f t="shared" si="76"/>
        <v>-0.013245343954453315</v>
      </c>
      <c r="AY55" s="5"/>
      <c r="BB55" s="71" t="str">
        <f t="shared" si="58"/>
        <v>Exptal</v>
      </c>
      <c r="BC55" s="72" t="str">
        <f t="shared" si="59"/>
        <v>Kim</v>
      </c>
      <c r="BD55" s="156">
        <f t="shared" si="60"/>
        <v>0.40188314728984104</v>
      </c>
      <c r="BE55" s="156">
        <f t="shared" si="54"/>
        <v>0.3878007682979237</v>
      </c>
      <c r="BF55" s="156">
        <f t="shared" si="55"/>
        <v>0.3863704057816977</v>
      </c>
      <c r="BG55" s="3"/>
      <c r="BH55" s="3"/>
      <c r="BI55" s="157">
        <f t="shared" si="77"/>
        <v>-0.014082378991917333</v>
      </c>
      <c r="BJ55" s="157">
        <f t="shared" si="78"/>
        <v>-0.015512741508143357</v>
      </c>
      <c r="BK55" s="157">
        <f t="shared" si="79"/>
        <v>-0.0014303625162260247</v>
      </c>
      <c r="BL55" s="157"/>
    </row>
    <row r="56" spans="2:64" ht="12.75">
      <c r="B56" s="71" t="str">
        <f t="shared" si="61"/>
        <v>Exptal</v>
      </c>
      <c r="C56" s="118" t="s">
        <v>63</v>
      </c>
      <c r="D56" s="22">
        <v>14.2</v>
      </c>
      <c r="E56" s="22">
        <v>12.9</v>
      </c>
      <c r="F56" s="22">
        <v>10.3</v>
      </c>
      <c r="H56" s="3"/>
      <c r="I56" s="5">
        <f t="shared" si="44"/>
        <v>-1.299999999999999</v>
      </c>
      <c r="J56" s="5">
        <f t="shared" si="45"/>
        <v>-3.8999999999999986</v>
      </c>
      <c r="K56" s="5">
        <f t="shared" si="46"/>
        <v>-2.5999999999999996</v>
      </c>
      <c r="L56" s="5"/>
      <c r="O56" s="71" t="str">
        <f t="shared" si="62"/>
        <v>Exptal</v>
      </c>
      <c r="P56" s="72" t="str">
        <f t="shared" si="56"/>
        <v>Lee</v>
      </c>
      <c r="Q56" s="5">
        <f t="shared" si="47"/>
        <v>265.3241964607215</v>
      </c>
      <c r="R56" s="5">
        <f t="shared" si="48"/>
        <v>255.72273113676266</v>
      </c>
      <c r="S56" s="5">
        <f t="shared" si="49"/>
        <v>233.214389523559</v>
      </c>
      <c r="T56" s="5"/>
      <c r="U56" s="5"/>
      <c r="V56" s="5">
        <f t="shared" si="68"/>
        <v>-9.601465323958848</v>
      </c>
      <c r="W56" s="5">
        <f t="shared" si="69"/>
        <v>-32.10980693716252</v>
      </c>
      <c r="X56" s="5">
        <f t="shared" si="70"/>
        <v>-22.50834161320367</v>
      </c>
      <c r="Y56" s="5"/>
      <c r="AB56" s="71" t="str">
        <f t="shared" si="63"/>
        <v>Exptal</v>
      </c>
      <c r="AC56" s="72" t="str">
        <f t="shared" si="64"/>
        <v>Lee</v>
      </c>
      <c r="AD56" s="58">
        <f t="shared" si="57"/>
        <v>89.07563025210085</v>
      </c>
      <c r="AE56" s="58">
        <f t="shared" si="50"/>
        <v>66.38655462184873</v>
      </c>
      <c r="AF56" s="58">
        <f t="shared" si="51"/>
        <v>26.05042016806723</v>
      </c>
      <c r="AG56" s="3"/>
      <c r="AH56" s="3"/>
      <c r="AI56" s="58">
        <f t="shared" si="71"/>
        <v>-22.68907563025212</v>
      </c>
      <c r="AJ56" s="58">
        <f t="shared" si="72"/>
        <v>-63.02521008403362</v>
      </c>
      <c r="AK56" s="58">
        <f t="shared" si="73"/>
        <v>-40.3361344537815</v>
      </c>
      <c r="AL56" s="58"/>
      <c r="AO56" s="71" t="str">
        <f t="shared" si="65"/>
        <v>Exptal</v>
      </c>
      <c r="AP56" s="72" t="str">
        <f t="shared" si="66"/>
        <v>Lee</v>
      </c>
      <c r="AQ56" s="5">
        <f t="shared" si="67"/>
        <v>3.7682887362833544</v>
      </c>
      <c r="AR56" s="5">
        <f t="shared" si="52"/>
        <v>3.591656999213594</v>
      </c>
      <c r="AS56" s="5">
        <f t="shared" si="53"/>
        <v>3.2093613071762426</v>
      </c>
      <c r="AT56" s="3"/>
      <c r="AU56" s="3"/>
      <c r="AV56" s="5">
        <f t="shared" si="74"/>
        <v>-0.17663173706976032</v>
      </c>
      <c r="AW56" s="5">
        <f t="shared" si="75"/>
        <v>-0.5589274291071118</v>
      </c>
      <c r="AX56" s="5">
        <f t="shared" si="76"/>
        <v>-0.3822956920373515</v>
      </c>
      <c r="AY56" s="5"/>
      <c r="BB56" s="71" t="str">
        <f t="shared" si="58"/>
        <v>Exptal</v>
      </c>
      <c r="BC56" s="72" t="str">
        <f t="shared" si="59"/>
        <v>Lee</v>
      </c>
      <c r="BD56" s="156">
        <f t="shared" si="60"/>
        <v>0.3863704057816977</v>
      </c>
      <c r="BE56" s="156">
        <f t="shared" si="54"/>
        <v>0.3673737895354758</v>
      </c>
      <c r="BF56" s="156">
        <f t="shared" si="55"/>
        <v>0.3267177391377737</v>
      </c>
      <c r="BG56" s="3"/>
      <c r="BH56" s="3"/>
      <c r="BI56" s="157">
        <f t="shared" si="77"/>
        <v>-0.018996616246221898</v>
      </c>
      <c r="BJ56" s="157">
        <f t="shared" si="78"/>
        <v>-0.05965266664392399</v>
      </c>
      <c r="BK56" s="157">
        <f t="shared" si="79"/>
        <v>-0.04065605039770209</v>
      </c>
      <c r="BL56" s="157"/>
    </row>
    <row r="57" spans="2:64" ht="12.75">
      <c r="B57" s="71" t="str">
        <f t="shared" si="61"/>
        <v>Exptal</v>
      </c>
      <c r="C57" s="118" t="s">
        <v>70</v>
      </c>
      <c r="D57" s="22">
        <v>9</v>
      </c>
      <c r="E57" s="22">
        <v>7.6</v>
      </c>
      <c r="F57" s="22">
        <v>7.8</v>
      </c>
      <c r="H57" s="3"/>
      <c r="I57" s="5">
        <f t="shared" si="44"/>
        <v>-1.4000000000000004</v>
      </c>
      <c r="J57" s="5">
        <f t="shared" si="45"/>
        <v>-1.2000000000000002</v>
      </c>
      <c r="K57" s="5">
        <f t="shared" si="46"/>
        <v>0.20000000000000018</v>
      </c>
      <c r="L57" s="5"/>
      <c r="O57" s="71" t="str">
        <f t="shared" si="62"/>
        <v>Exptal</v>
      </c>
      <c r="P57" s="72" t="str">
        <f t="shared" si="56"/>
        <v>Lin</v>
      </c>
      <c r="Q57" s="5">
        <f t="shared" si="47"/>
        <v>219.72245773362195</v>
      </c>
      <c r="R57" s="5">
        <f t="shared" si="48"/>
        <v>202.81482472922852</v>
      </c>
      <c r="S57" s="5">
        <f t="shared" si="49"/>
        <v>205.41237336955462</v>
      </c>
      <c r="T57" s="5"/>
      <c r="U57" s="5"/>
      <c r="V57" s="5">
        <f t="shared" si="68"/>
        <v>-16.907633004393432</v>
      </c>
      <c r="W57" s="5">
        <f t="shared" si="69"/>
        <v>-14.310084364067336</v>
      </c>
      <c r="X57" s="5">
        <f t="shared" si="70"/>
        <v>2.597548640326096</v>
      </c>
      <c r="Y57" s="5"/>
      <c r="AB57" s="71" t="str">
        <f t="shared" si="63"/>
        <v>Exptal</v>
      </c>
      <c r="AC57" s="72" t="str">
        <f t="shared" si="64"/>
        <v>Lin</v>
      </c>
      <c r="AD57" s="58">
        <f t="shared" si="57"/>
        <v>10.084033613445378</v>
      </c>
      <c r="AE57" s="58">
        <f t="shared" si="50"/>
        <v>3.361344537815126</v>
      </c>
      <c r="AF57" s="58">
        <f t="shared" si="51"/>
        <v>5.042016806722689</v>
      </c>
      <c r="AG57" s="3"/>
      <c r="AH57" s="3"/>
      <c r="AI57" s="58">
        <f t="shared" si="71"/>
        <v>-6.722689075630251</v>
      </c>
      <c r="AJ57" s="58">
        <f t="shared" si="72"/>
        <v>-5.042016806722689</v>
      </c>
      <c r="AK57" s="58">
        <f t="shared" si="73"/>
        <v>1.6806722689075628</v>
      </c>
      <c r="AL57" s="58"/>
      <c r="AO57" s="71" t="str">
        <f t="shared" si="65"/>
        <v>Exptal</v>
      </c>
      <c r="AP57" s="72" t="str">
        <f t="shared" si="66"/>
        <v>Lin</v>
      </c>
      <c r="AQ57" s="5">
        <f t="shared" si="67"/>
        <v>3</v>
      </c>
      <c r="AR57" s="5">
        <f t="shared" si="52"/>
        <v>2.756809750418044</v>
      </c>
      <c r="AS57" s="5">
        <f t="shared" si="53"/>
        <v>2.792848008753788</v>
      </c>
      <c r="AT57" s="3"/>
      <c r="AU57" s="3"/>
      <c r="AV57" s="5">
        <f t="shared" si="74"/>
        <v>-0.2431902495819558</v>
      </c>
      <c r="AW57" s="5">
        <f t="shared" si="75"/>
        <v>-0.20715199124621186</v>
      </c>
      <c r="AX57" s="5">
        <f t="shared" si="76"/>
        <v>0.03603825833574392</v>
      </c>
      <c r="AY57" s="5"/>
      <c r="BB57" s="71" t="str">
        <f t="shared" si="58"/>
        <v>Exptal</v>
      </c>
      <c r="BC57" s="72" t="str">
        <f t="shared" si="59"/>
        <v>Lin</v>
      </c>
      <c r="BD57" s="156">
        <f t="shared" si="60"/>
        <v>0.3046926540153975</v>
      </c>
      <c r="BE57" s="156">
        <f t="shared" si="54"/>
        <v>0.2792980576692852</v>
      </c>
      <c r="BF57" s="156">
        <f t="shared" si="55"/>
        <v>0.2830491909746638</v>
      </c>
      <c r="BG57" s="3"/>
      <c r="BH57" s="3"/>
      <c r="BI57" s="157">
        <f t="shared" si="77"/>
        <v>-0.025394596346112297</v>
      </c>
      <c r="BJ57" s="157">
        <f t="shared" si="78"/>
        <v>-0.021643463040733724</v>
      </c>
      <c r="BK57" s="157">
        <f t="shared" si="79"/>
        <v>0.0037511333053785734</v>
      </c>
      <c r="BL57" s="157"/>
    </row>
    <row r="58" spans="2:64" ht="12.75">
      <c r="B58" s="71" t="str">
        <f t="shared" si="61"/>
        <v>Exptal</v>
      </c>
      <c r="C58" s="118" t="s">
        <v>64</v>
      </c>
      <c r="D58" s="22">
        <v>15.1</v>
      </c>
      <c r="E58" s="22">
        <v>13.1</v>
      </c>
      <c r="F58" s="22">
        <v>14.6</v>
      </c>
      <c r="H58" s="3"/>
      <c r="I58" s="5">
        <f t="shared" si="44"/>
        <v>-2</v>
      </c>
      <c r="J58" s="5">
        <f t="shared" si="45"/>
        <v>-0.5</v>
      </c>
      <c r="K58" s="5">
        <f t="shared" si="46"/>
        <v>1.5</v>
      </c>
      <c r="L58" s="5"/>
      <c r="O58" s="71" t="str">
        <f t="shared" si="62"/>
        <v>Exptal</v>
      </c>
      <c r="P58" s="72" t="str">
        <f t="shared" si="56"/>
        <v>Leslie</v>
      </c>
      <c r="Q58" s="5">
        <f t="shared" si="47"/>
        <v>271.46947438208787</v>
      </c>
      <c r="R58" s="5">
        <f t="shared" si="48"/>
        <v>257.2612230207106</v>
      </c>
      <c r="S58" s="5">
        <f t="shared" si="49"/>
        <v>268.1021528714291</v>
      </c>
      <c r="T58" s="5"/>
      <c r="U58" s="5"/>
      <c r="V58" s="5">
        <f t="shared" si="68"/>
        <v>-14.208251361377279</v>
      </c>
      <c r="W58" s="5">
        <f t="shared" si="69"/>
        <v>-3.367321510658769</v>
      </c>
      <c r="X58" s="5">
        <f t="shared" si="70"/>
        <v>10.84092985071851</v>
      </c>
      <c r="Y58" s="5"/>
      <c r="AB58" s="71" t="str">
        <f t="shared" si="63"/>
        <v>Exptal</v>
      </c>
      <c r="AC58" s="72" t="str">
        <f t="shared" si="64"/>
        <v>Leslie</v>
      </c>
      <c r="AD58" s="58">
        <f t="shared" si="57"/>
        <v>93.27731092436974</v>
      </c>
      <c r="AE58" s="58">
        <f t="shared" si="50"/>
        <v>70.58823529411765</v>
      </c>
      <c r="AF58" s="58">
        <f t="shared" si="51"/>
        <v>92.43697478991596</v>
      </c>
      <c r="AG58" s="3"/>
      <c r="AH58" s="3"/>
      <c r="AI58" s="58">
        <f t="shared" si="71"/>
        <v>-22.68907563025209</v>
      </c>
      <c r="AJ58" s="58">
        <f t="shared" si="72"/>
        <v>-0.8403361344537785</v>
      </c>
      <c r="AK58" s="58">
        <f t="shared" si="73"/>
        <v>21.848739495798313</v>
      </c>
      <c r="AL58" s="58"/>
      <c r="AO58" s="71" t="str">
        <f t="shared" si="65"/>
        <v>Exptal</v>
      </c>
      <c r="AP58" s="72" t="str">
        <f t="shared" si="66"/>
        <v>Leslie</v>
      </c>
      <c r="AQ58" s="5">
        <f t="shared" si="67"/>
        <v>3.8858718455450894</v>
      </c>
      <c r="AR58" s="5">
        <f t="shared" si="52"/>
        <v>3.6193922141707713</v>
      </c>
      <c r="AS58" s="5">
        <f t="shared" si="53"/>
        <v>3.82099463490856</v>
      </c>
      <c r="AT58" s="3"/>
      <c r="AU58" s="3"/>
      <c r="AV58" s="5">
        <f t="shared" si="74"/>
        <v>-0.26647963137431807</v>
      </c>
      <c r="AW58" s="5">
        <f t="shared" si="75"/>
        <v>-0.06487721063652918</v>
      </c>
      <c r="AX58" s="5">
        <f t="shared" si="76"/>
        <v>0.2016024207377889</v>
      </c>
      <c r="AY58" s="5"/>
      <c r="BB58" s="71" t="str">
        <f t="shared" si="58"/>
        <v>Exptal</v>
      </c>
      <c r="BC58" s="72" t="str">
        <f t="shared" si="59"/>
        <v>Leslie</v>
      </c>
      <c r="BD58" s="156">
        <f t="shared" si="60"/>
        <v>0.3990977803001524</v>
      </c>
      <c r="BE58" s="156">
        <f t="shared" si="54"/>
        <v>0.3703473149967888</v>
      </c>
      <c r="BF58" s="156">
        <f t="shared" si="55"/>
        <v>0.39206708102555965</v>
      </c>
      <c r="BG58" s="3"/>
      <c r="BH58" s="3"/>
      <c r="BI58" s="157">
        <f t="shared" si="77"/>
        <v>-0.028750465303363615</v>
      </c>
      <c r="BJ58" s="157">
        <f t="shared" si="78"/>
        <v>-0.0070306992745927666</v>
      </c>
      <c r="BK58" s="157">
        <f t="shared" si="79"/>
        <v>0.02171976602877085</v>
      </c>
      <c r="BL58" s="157"/>
    </row>
    <row r="59" spans="2:64" ht="12.75">
      <c r="B59" s="71" t="str">
        <f t="shared" si="61"/>
        <v>Exptal</v>
      </c>
      <c r="C59" s="118" t="s">
        <v>73</v>
      </c>
      <c r="D59" s="22">
        <v>13.1</v>
      </c>
      <c r="E59" s="22">
        <v>12.6</v>
      </c>
      <c r="F59" s="22">
        <v>12.9</v>
      </c>
      <c r="H59" s="3"/>
      <c r="I59" s="5">
        <f t="shared" si="44"/>
        <v>-0.5</v>
      </c>
      <c r="J59" s="5">
        <f t="shared" si="45"/>
        <v>-0.1999999999999993</v>
      </c>
      <c r="K59" s="5">
        <f t="shared" si="46"/>
        <v>0.3000000000000007</v>
      </c>
      <c r="L59" s="5"/>
      <c r="O59" s="71" t="str">
        <f t="shared" si="62"/>
        <v>Exptal</v>
      </c>
      <c r="P59" s="72" t="str">
        <f t="shared" si="56"/>
        <v>Mel</v>
      </c>
      <c r="Q59" s="5">
        <f t="shared" si="47"/>
        <v>257.2612230207106</v>
      </c>
      <c r="R59" s="5">
        <f t="shared" si="48"/>
        <v>253.3696813957432</v>
      </c>
      <c r="S59" s="5">
        <f t="shared" si="49"/>
        <v>255.72273113676266</v>
      </c>
      <c r="T59" s="5"/>
      <c r="U59" s="5"/>
      <c r="V59" s="5">
        <f t="shared" si="68"/>
        <v>-3.891541624967374</v>
      </c>
      <c r="W59" s="5">
        <f t="shared" si="69"/>
        <v>-1.538491883947927</v>
      </c>
      <c r="X59" s="5">
        <f t="shared" si="70"/>
        <v>2.353049741019447</v>
      </c>
      <c r="Y59" s="5"/>
      <c r="AB59" s="71" t="str">
        <f t="shared" si="63"/>
        <v>Exptal</v>
      </c>
      <c r="AC59" s="72" t="str">
        <f t="shared" si="64"/>
        <v>Mel</v>
      </c>
      <c r="AD59" s="58">
        <f t="shared" si="57"/>
        <v>70.58823529411765</v>
      </c>
      <c r="AE59" s="58">
        <f t="shared" si="50"/>
        <v>63.02521008403361</v>
      </c>
      <c r="AF59" s="58">
        <f t="shared" si="51"/>
        <v>66.38655462184873</v>
      </c>
      <c r="AG59" s="3"/>
      <c r="AH59" s="3"/>
      <c r="AI59" s="58">
        <f t="shared" si="71"/>
        <v>-7.563025210084042</v>
      </c>
      <c r="AJ59" s="58">
        <f t="shared" si="72"/>
        <v>-4.201680672268921</v>
      </c>
      <c r="AK59" s="58">
        <f t="shared" si="73"/>
        <v>3.361344537815121</v>
      </c>
      <c r="AL59" s="58"/>
      <c r="AO59" s="71" t="str">
        <f t="shared" si="65"/>
        <v>Exptal</v>
      </c>
      <c r="AP59" s="72" t="str">
        <f t="shared" si="66"/>
        <v>Mel</v>
      </c>
      <c r="AQ59" s="5">
        <f t="shared" si="67"/>
        <v>3.6193922141707713</v>
      </c>
      <c r="AR59" s="5">
        <f t="shared" si="52"/>
        <v>3.5496478698597698</v>
      </c>
      <c r="AS59" s="5">
        <f t="shared" si="53"/>
        <v>3.591656999213594</v>
      </c>
      <c r="AT59" s="3"/>
      <c r="AU59" s="3"/>
      <c r="AV59" s="5">
        <f t="shared" si="74"/>
        <v>-0.06974434431100152</v>
      </c>
      <c r="AW59" s="5">
        <f t="shared" si="75"/>
        <v>-0.027735214957177234</v>
      </c>
      <c r="AX59" s="5">
        <f t="shared" si="76"/>
        <v>0.04200912935382428</v>
      </c>
      <c r="AY59" s="5"/>
      <c r="BB59" s="71" t="str">
        <f t="shared" si="58"/>
        <v>Exptal</v>
      </c>
      <c r="BC59" s="72" t="str">
        <f t="shared" si="59"/>
        <v>Mel</v>
      </c>
      <c r="BD59" s="156">
        <f t="shared" si="60"/>
        <v>0.3703473149967888</v>
      </c>
      <c r="BE59" s="156">
        <f t="shared" si="54"/>
        <v>0.36287640117662096</v>
      </c>
      <c r="BF59" s="156">
        <f t="shared" si="55"/>
        <v>0.3673737895354758</v>
      </c>
      <c r="BG59" s="3"/>
      <c r="BH59" s="3"/>
      <c r="BI59" s="157">
        <f t="shared" si="77"/>
        <v>-0.007470913820167846</v>
      </c>
      <c r="BJ59" s="157">
        <f t="shared" si="78"/>
        <v>-0.00297352546131302</v>
      </c>
      <c r="BK59" s="157">
        <f t="shared" si="79"/>
        <v>0.004497388358854826</v>
      </c>
      <c r="BL59" s="157"/>
    </row>
    <row r="60" spans="2:64" ht="12.75">
      <c r="B60" s="71" t="str">
        <f t="shared" si="61"/>
        <v>Exptal</v>
      </c>
      <c r="C60" s="118" t="s">
        <v>65</v>
      </c>
      <c r="D60" s="22">
        <v>12</v>
      </c>
      <c r="E60" s="22">
        <v>12.5</v>
      </c>
      <c r="F60" s="22">
        <v>13.2</v>
      </c>
      <c r="H60" s="3"/>
      <c r="I60" s="5">
        <f t="shared" si="44"/>
        <v>0.5</v>
      </c>
      <c r="J60" s="5">
        <f t="shared" si="45"/>
        <v>1.1999999999999993</v>
      </c>
      <c r="K60" s="5">
        <f t="shared" si="46"/>
        <v>0.6999999999999993</v>
      </c>
      <c r="L60" s="5"/>
      <c r="O60" s="71" t="str">
        <f t="shared" si="62"/>
        <v>Exptal</v>
      </c>
      <c r="P60" s="72" t="str">
        <f t="shared" si="56"/>
        <v>Morgan</v>
      </c>
      <c r="Q60" s="5">
        <f t="shared" si="47"/>
        <v>248.49066497880003</v>
      </c>
      <c r="R60" s="5">
        <f t="shared" si="48"/>
        <v>252.57286443082558</v>
      </c>
      <c r="S60" s="5">
        <f t="shared" si="49"/>
        <v>258.0216829592325</v>
      </c>
      <c r="T60" s="5"/>
      <c r="U60" s="5"/>
      <c r="V60" s="5">
        <f t="shared" si="68"/>
        <v>4.082199452025549</v>
      </c>
      <c r="W60" s="5">
        <f t="shared" si="69"/>
        <v>9.531017980432495</v>
      </c>
      <c r="X60" s="5">
        <f t="shared" si="70"/>
        <v>5.448818528406946</v>
      </c>
      <c r="Y60" s="5"/>
      <c r="AB60" s="71" t="str">
        <f t="shared" si="63"/>
        <v>Exptal</v>
      </c>
      <c r="AC60" s="72" t="str">
        <f t="shared" si="64"/>
        <v>Morgan</v>
      </c>
      <c r="AD60" s="58">
        <f t="shared" si="57"/>
        <v>51.26050420168067</v>
      </c>
      <c r="AE60" s="58">
        <f t="shared" si="50"/>
        <v>61.34453781512605</v>
      </c>
      <c r="AF60" s="58">
        <f t="shared" si="51"/>
        <v>73.10924369747899</v>
      </c>
      <c r="AG60" s="3"/>
      <c r="AH60" s="3"/>
      <c r="AI60" s="58">
        <f t="shared" si="71"/>
        <v>10.084033613445385</v>
      </c>
      <c r="AJ60" s="58">
        <f t="shared" si="72"/>
        <v>21.84873949579832</v>
      </c>
      <c r="AK60" s="58">
        <f t="shared" si="73"/>
        <v>11.764705882352935</v>
      </c>
      <c r="AL60" s="58"/>
      <c r="AO60" s="71" t="str">
        <f t="shared" si="65"/>
        <v>Exptal</v>
      </c>
      <c r="AP60" s="72" t="str">
        <f t="shared" si="66"/>
        <v>Morgan</v>
      </c>
      <c r="AQ60" s="5">
        <f t="shared" si="67"/>
        <v>3.4641016151377544</v>
      </c>
      <c r="AR60" s="5">
        <f t="shared" si="52"/>
        <v>3.5355339059327378</v>
      </c>
      <c r="AS60" s="5">
        <f t="shared" si="53"/>
        <v>3.63318042491699</v>
      </c>
      <c r="AT60" s="3"/>
      <c r="AU60" s="3"/>
      <c r="AV60" s="5">
        <f t="shared" si="74"/>
        <v>0.07143229079498337</v>
      </c>
      <c r="AW60" s="5">
        <f t="shared" si="75"/>
        <v>0.1690788097792355</v>
      </c>
      <c r="AX60" s="5">
        <f t="shared" si="76"/>
        <v>0.09764651898425214</v>
      </c>
      <c r="AY60" s="5"/>
      <c r="BB60" s="71" t="str">
        <f t="shared" si="58"/>
        <v>Exptal</v>
      </c>
      <c r="BC60" s="72" t="str">
        <f t="shared" si="59"/>
        <v>Morgan</v>
      </c>
      <c r="BD60" s="156">
        <f t="shared" si="60"/>
        <v>0.3537416058896715</v>
      </c>
      <c r="BE60" s="156">
        <f t="shared" si="54"/>
        <v>0.36136712390670783</v>
      </c>
      <c r="BF60" s="156">
        <f t="shared" si="55"/>
        <v>0.3718268421504571</v>
      </c>
      <c r="BG60" s="3"/>
      <c r="BH60" s="3"/>
      <c r="BI60" s="157">
        <f t="shared" si="77"/>
        <v>0.007625518017036315</v>
      </c>
      <c r="BJ60" s="157">
        <f t="shared" si="78"/>
        <v>0.018085236260785564</v>
      </c>
      <c r="BK60" s="157">
        <f t="shared" si="79"/>
        <v>0.01045971824374925</v>
      </c>
      <c r="BL60" s="157"/>
    </row>
    <row r="61" spans="2:64" ht="12.75">
      <c r="B61" s="71" t="str">
        <f t="shared" si="61"/>
        <v>Exptal</v>
      </c>
      <c r="C61" s="118" t="s">
        <v>76</v>
      </c>
      <c r="D61" s="22">
        <v>10.4</v>
      </c>
      <c r="E61" s="22">
        <v>9.8</v>
      </c>
      <c r="F61" s="22">
        <v>10.1</v>
      </c>
      <c r="H61" s="3"/>
      <c r="I61" s="5">
        <f>IF(AND(ISNUMBER(E61),ISNUMBER(D61)),E61-D61,"miss")</f>
        <v>-0.5999999999999996</v>
      </c>
      <c r="J61" s="5">
        <f>IF(AND(ISNUMBER(F61),ISNUMBER(D61)),F61-D61,"miss")</f>
        <v>-0.3000000000000007</v>
      </c>
      <c r="K61" s="5">
        <f>IF(AND(ISNUMBER(F61),ISNUMBER(E61)),F61-E61,"miss")</f>
        <v>0.29999999999999893</v>
      </c>
      <c r="L61" s="5"/>
      <c r="O61" s="71" t="str">
        <f>B61</f>
        <v>Exptal</v>
      </c>
      <c r="P61" s="72" t="str">
        <f>C61</f>
        <v>Nat</v>
      </c>
      <c r="Q61" s="5">
        <f t="shared" si="47"/>
        <v>234.1805806147327</v>
      </c>
      <c r="R61" s="5">
        <f t="shared" si="48"/>
        <v>228.23823856765264</v>
      </c>
      <c r="S61" s="5">
        <f t="shared" si="49"/>
        <v>231.25354238472138</v>
      </c>
      <c r="T61" s="5"/>
      <c r="U61" s="5"/>
      <c r="V61" s="5">
        <f>IF(AND(ISNUMBER(R61),ISNUMBER(Q61)),R61-Q61,"miss")</f>
        <v>-5.9423420470800465</v>
      </c>
      <c r="W61" s="5">
        <f>IF(AND(ISNUMBER(S61),ISNUMBER(Q61)),S61-Q61,"miss")</f>
        <v>-2.9270382300113056</v>
      </c>
      <c r="X61" s="5">
        <f>IF(AND(ISNUMBER(S61),ISNUMBER(R61)),S61-R61,"miss")</f>
        <v>3.015303817068741</v>
      </c>
      <c r="Y61" s="5"/>
      <c r="AB61" s="71" t="str">
        <f>O61</f>
        <v>Exptal</v>
      </c>
      <c r="AC61" s="72" t="str">
        <f>P61</f>
        <v>Nat</v>
      </c>
      <c r="AD61" s="58">
        <f t="shared" si="57"/>
        <v>28.57142857142857</v>
      </c>
      <c r="AE61" s="58">
        <f t="shared" si="50"/>
        <v>19.327731092436977</v>
      </c>
      <c r="AF61" s="58">
        <f t="shared" si="51"/>
        <v>23.52941176470588</v>
      </c>
      <c r="AG61" s="3"/>
      <c r="AH61" s="3"/>
      <c r="AI61" s="58">
        <f>IF(AND(ISNUMBER(AE61),ISNUMBER(AD61)),AE61-AD61,"miss")</f>
        <v>-9.243697478991592</v>
      </c>
      <c r="AJ61" s="58">
        <f>IF(AND(ISNUMBER(AF61),ISNUMBER(AD61)),AF61-AD61,"miss")</f>
        <v>-5.042016806722689</v>
      </c>
      <c r="AK61" s="58">
        <f>IF(AND(ISNUMBER(AF61),ISNUMBER(AE61)),AF61-AE61,"miss")</f>
        <v>4.201680672268903</v>
      </c>
      <c r="AL61" s="58"/>
      <c r="AO61" s="71" t="str">
        <f>AB61</f>
        <v>Exptal</v>
      </c>
      <c r="AP61" s="72" t="str">
        <f>AC61</f>
        <v>Nat</v>
      </c>
      <c r="AQ61" s="5">
        <f t="shared" si="67"/>
        <v>3.22490309931942</v>
      </c>
      <c r="AR61" s="5">
        <f t="shared" si="52"/>
        <v>3.1304951684997055</v>
      </c>
      <c r="AS61" s="5">
        <f t="shared" si="53"/>
        <v>3.1780497164141406</v>
      </c>
      <c r="AT61" s="3"/>
      <c r="AU61" s="3"/>
      <c r="AV61" s="5">
        <f>IF(AND(ISNUMBER(AR61),ISNUMBER(AQ61)),AR61-AQ61,"miss")</f>
        <v>-0.09440793081971455</v>
      </c>
      <c r="AW61" s="5">
        <f>IF(AND(ISNUMBER(AS61),ISNUMBER(AQ61)),AS61-AQ61,"miss")</f>
        <v>-0.04685338290527952</v>
      </c>
      <c r="AX61" s="5">
        <f>IF(AND(ISNUMBER(AS61),ISNUMBER(AR61)),AS61-AR61,"miss")</f>
        <v>0.04755454791443503</v>
      </c>
      <c r="AY61" s="5"/>
      <c r="BB61" s="71" t="str">
        <f t="shared" si="58"/>
        <v>Exptal</v>
      </c>
      <c r="BC61" s="72" t="str">
        <f t="shared" si="59"/>
        <v>Nat</v>
      </c>
      <c r="BD61" s="156">
        <f t="shared" si="60"/>
        <v>0.3283591823743521</v>
      </c>
      <c r="BE61" s="156">
        <f t="shared" si="54"/>
        <v>0.3184022478849735</v>
      </c>
      <c r="BF61" s="156">
        <f t="shared" si="55"/>
        <v>0.32341353678546897</v>
      </c>
      <c r="BG61" s="3"/>
      <c r="BH61" s="3"/>
      <c r="BI61" s="157">
        <f t="shared" si="77"/>
        <v>-0.009956934489378566</v>
      </c>
      <c r="BJ61" s="157">
        <f t="shared" si="78"/>
        <v>-0.0049456455888831075</v>
      </c>
      <c r="BK61" s="157">
        <f t="shared" si="79"/>
        <v>0.005011288900495459</v>
      </c>
      <c r="BL61" s="157"/>
    </row>
    <row r="62" spans="2:64" ht="12.75">
      <c r="B62" s="71" t="str">
        <f t="shared" si="61"/>
        <v>Exptal</v>
      </c>
      <c r="C62" s="118" t="s">
        <v>85</v>
      </c>
      <c r="D62" s="22">
        <v>11.4</v>
      </c>
      <c r="E62" s="22">
        <v>10.8</v>
      </c>
      <c r="F62" s="22">
        <v>11.2</v>
      </c>
      <c r="H62" s="3"/>
      <c r="I62" s="5">
        <f t="shared" si="44"/>
        <v>-0.5999999999999996</v>
      </c>
      <c r="J62" s="5">
        <f t="shared" si="45"/>
        <v>-0.20000000000000107</v>
      </c>
      <c r="K62" s="5">
        <f t="shared" si="46"/>
        <v>0.3999999999999986</v>
      </c>
      <c r="L62" s="5"/>
      <c r="O62" s="71" t="str">
        <f t="shared" si="62"/>
        <v>Exptal</v>
      </c>
      <c r="P62" s="72" t="str">
        <f aca="true" t="shared" si="80" ref="P62:P70">C62</f>
        <v>Nicky</v>
      </c>
      <c r="Q62" s="5">
        <f t="shared" si="47"/>
        <v>243.361335540045</v>
      </c>
      <c r="R62" s="5">
        <f t="shared" si="48"/>
        <v>237.9546134130174</v>
      </c>
      <c r="S62" s="5">
        <f t="shared" si="49"/>
        <v>241.59137783010488</v>
      </c>
      <c r="T62" s="5"/>
      <c r="U62" s="5"/>
      <c r="V62" s="5">
        <f t="shared" si="68"/>
        <v>-5.406722127027592</v>
      </c>
      <c r="W62" s="5">
        <f t="shared" si="69"/>
        <v>-1.7699577099401154</v>
      </c>
      <c r="X62" s="5">
        <f t="shared" si="70"/>
        <v>3.636764417087477</v>
      </c>
      <c r="Y62" s="5"/>
      <c r="AB62" s="71" t="str">
        <f t="shared" si="63"/>
        <v>Exptal</v>
      </c>
      <c r="AC62" s="72" t="str">
        <f t="shared" si="64"/>
        <v>Nicky</v>
      </c>
      <c r="AD62" s="58">
        <f t="shared" si="57"/>
        <v>42.016806722689076</v>
      </c>
      <c r="AE62" s="58">
        <f t="shared" si="50"/>
        <v>34.45378151260504</v>
      </c>
      <c r="AF62" s="58">
        <f t="shared" si="51"/>
        <v>40.33613445378151</v>
      </c>
      <c r="AG62" s="3"/>
      <c r="AH62" s="3"/>
      <c r="AI62" s="58">
        <f t="shared" si="71"/>
        <v>-7.563025210084035</v>
      </c>
      <c r="AJ62" s="58">
        <f t="shared" si="72"/>
        <v>-1.6806722689075642</v>
      </c>
      <c r="AK62" s="58">
        <f t="shared" si="73"/>
        <v>5.882352941176471</v>
      </c>
      <c r="AL62" s="58"/>
      <c r="AO62" s="71" t="str">
        <f t="shared" si="65"/>
        <v>Exptal</v>
      </c>
      <c r="AP62" s="72" t="str">
        <f t="shared" si="66"/>
        <v>Nicky</v>
      </c>
      <c r="AQ62" s="5">
        <f t="shared" si="67"/>
        <v>3.3763886032268267</v>
      </c>
      <c r="AR62" s="5">
        <f t="shared" si="52"/>
        <v>3.286335345030997</v>
      </c>
      <c r="AS62" s="5">
        <f t="shared" si="53"/>
        <v>3.3466401061363023</v>
      </c>
      <c r="AT62" s="3"/>
      <c r="AU62" s="3"/>
      <c r="AV62" s="5">
        <f t="shared" si="74"/>
        <v>-0.09005325819582977</v>
      </c>
      <c r="AW62" s="5">
        <f t="shared" si="75"/>
        <v>-0.029748497090524406</v>
      </c>
      <c r="AX62" s="5">
        <f t="shared" si="76"/>
        <v>0.06030476110530536</v>
      </c>
      <c r="AY62" s="5"/>
      <c r="BB62" s="71" t="str">
        <f t="shared" si="58"/>
        <v>Exptal</v>
      </c>
      <c r="BC62" s="72" t="str">
        <f t="shared" si="59"/>
        <v>Nicky</v>
      </c>
      <c r="BD62" s="156">
        <f t="shared" si="60"/>
        <v>0.34440731898073373</v>
      </c>
      <c r="BE62" s="156">
        <f t="shared" si="54"/>
        <v>0.33485638447676247</v>
      </c>
      <c r="BF62" s="156">
        <f t="shared" si="55"/>
        <v>0.341248658637986</v>
      </c>
      <c r="BG62" s="3"/>
      <c r="BH62" s="3"/>
      <c r="BI62" s="157">
        <f t="shared" si="77"/>
        <v>-0.009550934503971265</v>
      </c>
      <c r="BJ62" s="157">
        <f t="shared" si="78"/>
        <v>-0.0031586603427477544</v>
      </c>
      <c r="BK62" s="157">
        <f t="shared" si="79"/>
        <v>0.00639227416122351</v>
      </c>
      <c r="BL62" s="157"/>
    </row>
    <row r="63" spans="2:64" ht="12.75">
      <c r="B63" s="71" t="str">
        <f t="shared" si="61"/>
        <v>Exptal</v>
      </c>
      <c r="C63" s="118" t="s">
        <v>74</v>
      </c>
      <c r="D63" s="22">
        <v>9.4</v>
      </c>
      <c r="E63" s="22">
        <v>9.8</v>
      </c>
      <c r="F63" s="22">
        <v>9.6</v>
      </c>
      <c r="H63" s="3"/>
      <c r="I63" s="5">
        <f>IF(AND(ISNUMBER(E63),ISNUMBER(D63)),E63-D63,"miss")</f>
        <v>0.40000000000000036</v>
      </c>
      <c r="J63" s="5">
        <f>IF(AND(ISNUMBER(F63),ISNUMBER(D63)),F63-D63,"miss")</f>
        <v>0.1999999999999993</v>
      </c>
      <c r="K63" s="5">
        <f>IF(AND(ISNUMBER(F63),ISNUMBER(E63)),F63-E63,"miss")</f>
        <v>-0.20000000000000107</v>
      </c>
      <c r="L63" s="5"/>
      <c r="O63" s="71" t="str">
        <f>B63</f>
        <v>Exptal</v>
      </c>
      <c r="P63" s="72" t="str">
        <f t="shared" si="80"/>
        <v>Pat</v>
      </c>
      <c r="Q63" s="5">
        <f t="shared" si="47"/>
        <v>224.07096892759583</v>
      </c>
      <c r="R63" s="5">
        <f t="shared" si="48"/>
        <v>228.23823856765264</v>
      </c>
      <c r="S63" s="5">
        <f t="shared" si="49"/>
        <v>226.17630984737906</v>
      </c>
      <c r="T63" s="5"/>
      <c r="U63" s="5"/>
      <c r="V63" s="5">
        <f>IF(AND(ISNUMBER(R63),ISNUMBER(Q63)),R63-Q63,"miss")</f>
        <v>4.167269640056816</v>
      </c>
      <c r="W63" s="5">
        <f>IF(AND(ISNUMBER(S63),ISNUMBER(Q63)),S63-Q63,"miss")</f>
        <v>2.105340919783231</v>
      </c>
      <c r="X63" s="5">
        <f>IF(AND(ISNUMBER(S63),ISNUMBER(R63)),S63-R63,"miss")</f>
        <v>-2.0619287202735848</v>
      </c>
      <c r="Y63" s="5"/>
      <c r="AB63" s="71" t="str">
        <f>O63</f>
        <v>Exptal</v>
      </c>
      <c r="AC63" s="72" t="str">
        <f>P63</f>
        <v>Pat</v>
      </c>
      <c r="AD63" s="58">
        <f t="shared" si="57"/>
        <v>15.126050420168067</v>
      </c>
      <c r="AE63" s="58">
        <f t="shared" si="50"/>
        <v>19.327731092436977</v>
      </c>
      <c r="AF63" s="58">
        <f t="shared" si="51"/>
        <v>16.80672268907563</v>
      </c>
      <c r="AG63" s="3"/>
      <c r="AH63" s="3"/>
      <c r="AI63" s="58">
        <f>IF(AND(ISNUMBER(AE63),ISNUMBER(AD63)),AE63-AD63,"miss")</f>
        <v>4.20168067226891</v>
      </c>
      <c r="AJ63" s="58">
        <f>IF(AND(ISNUMBER(AF63),ISNUMBER(AD63)),AF63-AD63,"miss")</f>
        <v>1.6806722689075642</v>
      </c>
      <c r="AK63" s="58">
        <f>IF(AND(ISNUMBER(AF63),ISNUMBER(AE63)),AF63-AE63,"miss")</f>
        <v>-2.5210084033613462</v>
      </c>
      <c r="AL63" s="58"/>
      <c r="AO63" s="71" t="str">
        <f>AB63</f>
        <v>Exptal</v>
      </c>
      <c r="AP63" s="72" t="str">
        <f>AC63</f>
        <v>Pat</v>
      </c>
      <c r="AQ63" s="5">
        <f t="shared" si="67"/>
        <v>3.0659419433511785</v>
      </c>
      <c r="AR63" s="5">
        <f t="shared" si="52"/>
        <v>3.1304951684997055</v>
      </c>
      <c r="AS63" s="5">
        <f t="shared" si="53"/>
        <v>3.0983866769659336</v>
      </c>
      <c r="AT63" s="3"/>
      <c r="AU63" s="3"/>
      <c r="AV63" s="5">
        <f>IF(AND(ISNUMBER(AR63),ISNUMBER(AQ63)),AR63-AQ63,"miss")</f>
        <v>0.06455322514852702</v>
      </c>
      <c r="AW63" s="5">
        <f>IF(AND(ISNUMBER(AS63),ISNUMBER(AQ63)),AS63-AQ63,"miss")</f>
        <v>0.032444733614755084</v>
      </c>
      <c r="AX63" s="5">
        <f>IF(AND(ISNUMBER(AS63),ISNUMBER(AR63)),AS63-AR63,"miss")</f>
        <v>-0.03210849153377193</v>
      </c>
      <c r="AY63" s="5"/>
      <c r="BB63" s="71" t="str">
        <f>AO63</f>
        <v>Exptal</v>
      </c>
      <c r="BC63" s="72" t="str">
        <f>AP63</f>
        <v>Pat</v>
      </c>
      <c r="BD63" s="156">
        <f t="shared" si="60"/>
        <v>0.3116128333286751</v>
      </c>
      <c r="BE63" s="156">
        <f t="shared" si="54"/>
        <v>0.3184022478849735</v>
      </c>
      <c r="BF63" s="156">
        <f t="shared" si="55"/>
        <v>0.3150233452229202</v>
      </c>
      <c r="BG63" s="3"/>
      <c r="BH63" s="3"/>
      <c r="BI63" s="157">
        <f>IF(AND(ISNUMBER(BE63),ISNUMBER(BD63)),BE63-BD63,"miss")</f>
        <v>0.00678941455629839</v>
      </c>
      <c r="BJ63" s="157">
        <f>IF(AND(ISNUMBER(BF63),ISNUMBER(BD63)),BF63-BD63,"miss")</f>
        <v>0.003410511894245072</v>
      </c>
      <c r="BK63" s="157">
        <f>IF(AND(ISNUMBER(BF63),ISNUMBER(BE63)),BF63-BE63,"miss")</f>
        <v>-0.003378902662053318</v>
      </c>
      <c r="BL63" s="157"/>
    </row>
    <row r="64" spans="2:64" ht="12.75">
      <c r="B64" s="71" t="str">
        <f t="shared" si="61"/>
        <v>Exptal</v>
      </c>
      <c r="C64" s="118" t="s">
        <v>4</v>
      </c>
      <c r="D64" s="22">
        <v>13</v>
      </c>
      <c r="E64" s="22">
        <v>12.1</v>
      </c>
      <c r="F64" s="22">
        <v>13.3</v>
      </c>
      <c r="H64" s="3"/>
      <c r="I64" s="5">
        <f>IF(AND(ISNUMBER(E64),ISNUMBER(D64)),E64-D64,"miss")</f>
        <v>-0.9000000000000004</v>
      </c>
      <c r="J64" s="5">
        <f>IF(AND(ISNUMBER(F64),ISNUMBER(D64)),F64-D64,"miss")</f>
        <v>0.3000000000000007</v>
      </c>
      <c r="K64" s="5">
        <f>IF(AND(ISNUMBER(F64),ISNUMBER(E64)),F64-E64,"miss")</f>
        <v>1.200000000000001</v>
      </c>
      <c r="L64" s="5"/>
      <c r="O64" s="71" t="str">
        <f>B64</f>
        <v>Exptal</v>
      </c>
      <c r="P64" s="72" t="str">
        <f t="shared" si="80"/>
        <v>Phil</v>
      </c>
      <c r="Q64" s="5">
        <f t="shared" si="47"/>
        <v>256.49493574615366</v>
      </c>
      <c r="R64" s="5">
        <f t="shared" si="48"/>
        <v>249.32054526026954</v>
      </c>
      <c r="S64" s="5">
        <f t="shared" si="49"/>
        <v>258.7764035227708</v>
      </c>
      <c r="T64" s="5"/>
      <c r="U64" s="5"/>
      <c r="V64" s="5">
        <f>IF(AND(ISNUMBER(R64),ISNUMBER(Q64)),R64-Q64,"miss")</f>
        <v>-7.174390485884118</v>
      </c>
      <c r="W64" s="5">
        <f>IF(AND(ISNUMBER(S64),ISNUMBER(Q64)),S64-Q64,"miss")</f>
        <v>2.2814677766171485</v>
      </c>
      <c r="X64" s="5">
        <f>IF(AND(ISNUMBER(S64),ISNUMBER(R64)),S64-R64,"miss")</f>
        <v>9.455858262501266</v>
      </c>
      <c r="Y64" s="5"/>
      <c r="AB64" s="71" t="str">
        <f>O64</f>
        <v>Exptal</v>
      </c>
      <c r="AC64" s="72" t="str">
        <f>P64</f>
        <v>Phil</v>
      </c>
      <c r="AD64" s="58">
        <f t="shared" si="57"/>
        <v>68.0672268907563</v>
      </c>
      <c r="AE64" s="58">
        <f t="shared" si="50"/>
        <v>53.78151260504202</v>
      </c>
      <c r="AF64" s="58">
        <f t="shared" si="51"/>
        <v>73.94957983193278</v>
      </c>
      <c r="AG64" s="3"/>
      <c r="AH64" s="3"/>
      <c r="AI64" s="58">
        <f>IF(AND(ISNUMBER(AE64),ISNUMBER(AD64)),AE64-AD64,"miss")</f>
        <v>-14.285714285714285</v>
      </c>
      <c r="AJ64" s="58">
        <f>IF(AND(ISNUMBER(AF64),ISNUMBER(AD64)),AF64-AD64,"miss")</f>
        <v>5.882352941176478</v>
      </c>
      <c r="AK64" s="58">
        <f>IF(AND(ISNUMBER(AF64),ISNUMBER(AE64)),AF64-AE64,"miss")</f>
        <v>20.168067226890763</v>
      </c>
      <c r="AL64" s="58"/>
      <c r="AO64" s="71" t="str">
        <f>AB64</f>
        <v>Exptal</v>
      </c>
      <c r="AP64" s="72" t="str">
        <f>AC64</f>
        <v>Phil</v>
      </c>
      <c r="AQ64" s="5">
        <f t="shared" si="67"/>
        <v>3.605551275463989</v>
      </c>
      <c r="AR64" s="5">
        <f t="shared" si="52"/>
        <v>3.478505426185217</v>
      </c>
      <c r="AS64" s="5">
        <f t="shared" si="53"/>
        <v>3.646916505762094</v>
      </c>
      <c r="AT64" s="3"/>
      <c r="AU64" s="3"/>
      <c r="AV64" s="5">
        <f>IF(AND(ISNUMBER(AR64),ISNUMBER(AQ64)),AR64-AQ64,"miss")</f>
        <v>-0.12704584927877205</v>
      </c>
      <c r="AW64" s="5">
        <f>IF(AND(ISNUMBER(AS64),ISNUMBER(AQ64)),AS64-AQ64,"miss")</f>
        <v>0.041365230298104905</v>
      </c>
      <c r="AX64" s="5">
        <f>IF(AND(ISNUMBER(AS64),ISNUMBER(AR64)),AS64-AR64,"miss")</f>
        <v>0.16841107957687695</v>
      </c>
      <c r="AY64" s="5"/>
      <c r="BB64" s="71" t="str">
        <f>AO64</f>
        <v>Exptal</v>
      </c>
      <c r="BC64" s="72" t="str">
        <f>AP64</f>
        <v>Phil</v>
      </c>
      <c r="BD64" s="156">
        <f t="shared" si="60"/>
        <v>0.36886298422662445</v>
      </c>
      <c r="BE64" s="156">
        <f t="shared" si="54"/>
        <v>0.35527749346034315</v>
      </c>
      <c r="BF64" s="156">
        <f t="shared" si="55"/>
        <v>0.37330162485513574</v>
      </c>
      <c r="BG64" s="3"/>
      <c r="BH64" s="3"/>
      <c r="BI64" s="157">
        <f>IF(AND(ISNUMBER(BE64),ISNUMBER(BD64)),BE64-BD64,"miss")</f>
        <v>-0.013585490766281294</v>
      </c>
      <c r="BJ64" s="157">
        <f>IF(AND(ISNUMBER(BF64),ISNUMBER(BD64)),BF64-BD64,"miss")</f>
        <v>0.004438640628511292</v>
      </c>
      <c r="BK64" s="157">
        <f>IF(AND(ISNUMBER(BF64),ISNUMBER(BE64)),BF64-BE64,"miss")</f>
        <v>0.018024131394792586</v>
      </c>
      <c r="BL64" s="157"/>
    </row>
    <row r="65" spans="2:64" ht="12.75">
      <c r="B65" s="71" t="str">
        <f t="shared" si="61"/>
        <v>Exptal</v>
      </c>
      <c r="C65" s="118" t="s">
        <v>66</v>
      </c>
      <c r="D65" s="22">
        <v>8.9</v>
      </c>
      <c r="E65" s="22">
        <v>7.2</v>
      </c>
      <c r="F65" s="22">
        <v>7.6</v>
      </c>
      <c r="H65" s="3"/>
      <c r="I65" s="5">
        <f t="shared" si="44"/>
        <v>-1.7000000000000002</v>
      </c>
      <c r="J65" s="5">
        <f t="shared" si="45"/>
        <v>-1.3000000000000007</v>
      </c>
      <c r="K65" s="5">
        <f t="shared" si="46"/>
        <v>0.39999999999999947</v>
      </c>
      <c r="L65" s="5"/>
      <c r="O65" s="71" t="str">
        <f t="shared" si="62"/>
        <v>Exptal</v>
      </c>
      <c r="P65" s="72" t="str">
        <f t="shared" si="80"/>
        <v>Quinn</v>
      </c>
      <c r="Q65" s="5">
        <f t="shared" si="47"/>
        <v>218.60512767380942</v>
      </c>
      <c r="R65" s="5">
        <f t="shared" si="48"/>
        <v>197.40810260220096</v>
      </c>
      <c r="S65" s="5">
        <f t="shared" si="49"/>
        <v>202.81482472922852</v>
      </c>
      <c r="T65" s="5"/>
      <c r="U65" s="5"/>
      <c r="V65" s="5">
        <f t="shared" si="68"/>
        <v>-21.197025071608465</v>
      </c>
      <c r="W65" s="5">
        <f t="shared" si="69"/>
        <v>-15.790302944580901</v>
      </c>
      <c r="X65" s="5">
        <f t="shared" si="70"/>
        <v>5.406722127027564</v>
      </c>
      <c r="Y65" s="5"/>
      <c r="AB65" s="71" t="str">
        <f t="shared" si="63"/>
        <v>Exptal</v>
      </c>
      <c r="AC65" s="72" t="str">
        <f t="shared" si="64"/>
        <v>Quinn</v>
      </c>
      <c r="AD65" s="58">
        <f t="shared" si="57"/>
        <v>7.563025210084033</v>
      </c>
      <c r="AE65" s="58">
        <f t="shared" si="50"/>
        <v>1.680672268907563</v>
      </c>
      <c r="AF65" s="58">
        <f t="shared" si="51"/>
        <v>3.361344537815126</v>
      </c>
      <c r="AG65" s="3"/>
      <c r="AH65" s="3"/>
      <c r="AI65" s="58">
        <f t="shared" si="71"/>
        <v>-5.88235294117647</v>
      </c>
      <c r="AJ65" s="58">
        <f t="shared" si="72"/>
        <v>-4.201680672268907</v>
      </c>
      <c r="AK65" s="58">
        <f t="shared" si="73"/>
        <v>1.680672268907563</v>
      </c>
      <c r="AL65" s="58"/>
      <c r="AO65" s="71" t="str">
        <f t="shared" si="65"/>
        <v>Exptal</v>
      </c>
      <c r="AP65" s="72" t="str">
        <f t="shared" si="66"/>
        <v>Quinn</v>
      </c>
      <c r="AQ65" s="5">
        <f t="shared" si="67"/>
        <v>2.9832867780352594</v>
      </c>
      <c r="AR65" s="5">
        <f t="shared" si="52"/>
        <v>2.6832815729997477</v>
      </c>
      <c r="AS65" s="5">
        <f t="shared" si="53"/>
        <v>2.756809750418044</v>
      </c>
      <c r="AT65" s="3"/>
      <c r="AU65" s="3"/>
      <c r="AV65" s="5">
        <f t="shared" si="74"/>
        <v>-0.30000520503551176</v>
      </c>
      <c r="AW65" s="5">
        <f t="shared" si="75"/>
        <v>-0.22647702761721522</v>
      </c>
      <c r="AX65" s="5">
        <f t="shared" si="76"/>
        <v>0.07352817741829654</v>
      </c>
      <c r="AY65" s="5"/>
      <c r="BB65" s="71" t="str">
        <f aca="true" t="shared" si="81" ref="BB65:BB70">AO65</f>
        <v>Exptal</v>
      </c>
      <c r="BC65" s="72" t="str">
        <f aca="true" t="shared" si="82" ref="BC65:BC70">AP65</f>
        <v>Quinn</v>
      </c>
      <c r="BD65" s="156">
        <f t="shared" si="60"/>
        <v>0.3029411138077166</v>
      </c>
      <c r="BE65" s="156">
        <f t="shared" si="54"/>
        <v>0.27165712367757405</v>
      </c>
      <c r="BF65" s="156">
        <f t="shared" si="55"/>
        <v>0.2792980576692852</v>
      </c>
      <c r="BG65" s="3"/>
      <c r="BH65" s="3"/>
      <c r="BI65" s="157">
        <f aca="true" t="shared" si="83" ref="BI65:BI70">IF(AND(ISNUMBER(BE65),ISNUMBER(BD65)),BE65-BD65,"miss")</f>
        <v>-0.03128399013014255</v>
      </c>
      <c r="BJ65" s="157">
        <f aca="true" t="shared" si="84" ref="BJ65:BJ70">IF(AND(ISNUMBER(BF65),ISNUMBER(BD65)),BF65-BD65,"miss")</f>
        <v>-0.023643056138431373</v>
      </c>
      <c r="BK65" s="157">
        <f aca="true" t="shared" si="85" ref="BK65:BK70">IF(AND(ISNUMBER(BF65),ISNUMBER(BE65)),BF65-BE65,"miss")</f>
        <v>0.007640933991711174</v>
      </c>
      <c r="BL65" s="157"/>
    </row>
    <row r="66" spans="2:64" ht="12.75">
      <c r="B66" s="71" t="str">
        <f t="shared" si="61"/>
        <v>Exptal</v>
      </c>
      <c r="C66" s="118" t="s">
        <v>67</v>
      </c>
      <c r="D66" s="22">
        <v>13.3</v>
      </c>
      <c r="E66" s="22">
        <v>12.4</v>
      </c>
      <c r="F66" s="22">
        <v>11</v>
      </c>
      <c r="H66" s="3"/>
      <c r="I66" s="5">
        <f t="shared" si="44"/>
        <v>-0.9000000000000004</v>
      </c>
      <c r="J66" s="5">
        <f t="shared" si="45"/>
        <v>-2.3000000000000007</v>
      </c>
      <c r="K66" s="5">
        <f t="shared" si="46"/>
        <v>-1.4000000000000004</v>
      </c>
      <c r="L66" s="5"/>
      <c r="O66" s="71" t="str">
        <f t="shared" si="62"/>
        <v>Exptal</v>
      </c>
      <c r="P66" s="72" t="str">
        <f t="shared" si="80"/>
        <v>Reece</v>
      </c>
      <c r="Q66" s="5">
        <f t="shared" si="47"/>
        <v>258.7764035227708</v>
      </c>
      <c r="R66" s="5">
        <f t="shared" si="48"/>
        <v>251.76964726109912</v>
      </c>
      <c r="S66" s="5">
        <f t="shared" si="49"/>
        <v>239.78952727983707</v>
      </c>
      <c r="T66" s="5"/>
      <c r="U66" s="5"/>
      <c r="V66" s="5">
        <f t="shared" si="68"/>
        <v>-7.006756261671683</v>
      </c>
      <c r="W66" s="5">
        <f t="shared" si="69"/>
        <v>-18.986876242933732</v>
      </c>
      <c r="X66" s="5">
        <f t="shared" si="70"/>
        <v>-11.98011998126205</v>
      </c>
      <c r="Y66" s="5"/>
      <c r="AB66" s="71" t="str">
        <f t="shared" si="63"/>
        <v>Exptal</v>
      </c>
      <c r="AC66" s="72" t="str">
        <f t="shared" si="64"/>
        <v>Reece</v>
      </c>
      <c r="AD66" s="58">
        <f t="shared" si="57"/>
        <v>73.94957983193278</v>
      </c>
      <c r="AE66" s="58">
        <f t="shared" si="50"/>
        <v>58.82352941176471</v>
      </c>
      <c r="AF66" s="58">
        <f t="shared" si="51"/>
        <v>36.97478991596639</v>
      </c>
      <c r="AG66" s="3"/>
      <c r="AH66" s="3"/>
      <c r="AI66" s="58">
        <f t="shared" si="71"/>
        <v>-15.12605042016807</v>
      </c>
      <c r="AJ66" s="58">
        <f t="shared" si="72"/>
        <v>-36.97478991596639</v>
      </c>
      <c r="AK66" s="58">
        <f t="shared" si="73"/>
        <v>-21.84873949579832</v>
      </c>
      <c r="AL66" s="58"/>
      <c r="AO66" s="71" t="str">
        <f t="shared" si="65"/>
        <v>Exptal</v>
      </c>
      <c r="AP66" s="72" t="str">
        <f t="shared" si="66"/>
        <v>Reece</v>
      </c>
      <c r="AQ66" s="5">
        <f t="shared" si="67"/>
        <v>3.646916505762094</v>
      </c>
      <c r="AR66" s="5">
        <f t="shared" si="52"/>
        <v>3.521363372331802</v>
      </c>
      <c r="AS66" s="5">
        <f t="shared" si="53"/>
        <v>3.3166247903554</v>
      </c>
      <c r="AT66" s="3"/>
      <c r="AU66" s="3"/>
      <c r="AV66" s="5">
        <f t="shared" si="74"/>
        <v>-0.12555313343029217</v>
      </c>
      <c r="AW66" s="5">
        <f t="shared" si="75"/>
        <v>-0.3302917154066942</v>
      </c>
      <c r="AX66" s="5">
        <f t="shared" si="76"/>
        <v>-0.20473858197640205</v>
      </c>
      <c r="AY66" s="5"/>
      <c r="BB66" s="71" t="str">
        <f t="shared" si="81"/>
        <v>Exptal</v>
      </c>
      <c r="BC66" s="72" t="str">
        <f t="shared" si="82"/>
        <v>Reece</v>
      </c>
      <c r="BD66" s="156">
        <f t="shared" si="60"/>
        <v>0.37330162485513574</v>
      </c>
      <c r="BE66" s="156">
        <f t="shared" si="54"/>
        <v>0.3598526630123081</v>
      </c>
      <c r="BF66" s="156">
        <f t="shared" si="55"/>
        <v>0.3380652547803307</v>
      </c>
      <c r="BG66" s="3"/>
      <c r="BH66" s="3"/>
      <c r="BI66" s="157">
        <f t="shared" si="83"/>
        <v>-0.013448961842827623</v>
      </c>
      <c r="BJ66" s="157">
        <f t="shared" si="84"/>
        <v>-0.03523637007480501</v>
      </c>
      <c r="BK66" s="157">
        <f t="shared" si="85"/>
        <v>-0.02178740823197739</v>
      </c>
      <c r="BL66" s="157"/>
    </row>
    <row r="67" spans="2:64" ht="12.75">
      <c r="B67" s="71" t="str">
        <f t="shared" si="61"/>
        <v>Exptal</v>
      </c>
      <c r="C67" s="118" t="s">
        <v>68</v>
      </c>
      <c r="D67" s="22">
        <v>15.9</v>
      </c>
      <c r="E67" s="22">
        <v>12</v>
      </c>
      <c r="F67" s="22">
        <v>16.7</v>
      </c>
      <c r="H67" s="3"/>
      <c r="I67" s="5">
        <f>IF(AND(ISNUMBER(E67),ISNUMBER(D67)),E67-D67,"miss")</f>
        <v>-3.9000000000000004</v>
      </c>
      <c r="J67" s="5">
        <f>IF(AND(ISNUMBER(F67),ISNUMBER(D67)),F67-D67,"miss")</f>
        <v>0.7999999999999989</v>
      </c>
      <c r="K67" s="5">
        <f>IF(AND(ISNUMBER(F67),ISNUMBER(E67)),F67-E67,"miss")</f>
        <v>4.699999999999999</v>
      </c>
      <c r="L67" s="5"/>
      <c r="O67" s="71" t="str">
        <f>B67</f>
        <v>Exptal</v>
      </c>
      <c r="P67" s="72" t="str">
        <f t="shared" si="80"/>
        <v>Robin</v>
      </c>
      <c r="Q67" s="5">
        <f t="shared" si="47"/>
        <v>276.6319109226186</v>
      </c>
      <c r="R67" s="5">
        <f t="shared" si="48"/>
        <v>248.49066497880003</v>
      </c>
      <c r="S67" s="5">
        <f t="shared" si="49"/>
        <v>281.54087194227094</v>
      </c>
      <c r="T67" s="5"/>
      <c r="U67" s="5"/>
      <c r="V67" s="5">
        <f>IF(AND(ISNUMBER(R67),ISNUMBER(Q67)),R67-Q67,"miss")</f>
        <v>-28.141245943818575</v>
      </c>
      <c r="W67" s="5">
        <f>IF(AND(ISNUMBER(S67),ISNUMBER(Q67)),S67-Q67,"miss")</f>
        <v>4.908961019652338</v>
      </c>
      <c r="X67" s="5">
        <f>IF(AND(ISNUMBER(S67),ISNUMBER(R67)),S67-R67,"miss")</f>
        <v>33.05020696347091</v>
      </c>
      <c r="Y67" s="5"/>
      <c r="AB67" s="71" t="str">
        <f>O67</f>
        <v>Exptal</v>
      </c>
      <c r="AC67" s="72" t="str">
        <f>P67</f>
        <v>Robin</v>
      </c>
      <c r="AD67" s="58">
        <f t="shared" si="57"/>
        <v>95.7983193277311</v>
      </c>
      <c r="AE67" s="58">
        <f t="shared" si="50"/>
        <v>51.26050420168067</v>
      </c>
      <c r="AF67" s="58">
        <f t="shared" si="51"/>
        <v>99.15966386554622</v>
      </c>
      <c r="AG67" s="3"/>
      <c r="AH67" s="3"/>
      <c r="AI67" s="58">
        <f>IF(AND(ISNUMBER(AE67),ISNUMBER(AD67)),AE67-AD67,"miss")</f>
        <v>-44.537815126050425</v>
      </c>
      <c r="AJ67" s="58">
        <f>IF(AND(ISNUMBER(AF67),ISNUMBER(AD67)),AF67-AD67,"miss")</f>
        <v>3.3613445378151283</v>
      </c>
      <c r="AK67" s="58">
        <f>IF(AND(ISNUMBER(AF67),ISNUMBER(AE67)),AF67-AE67,"miss")</f>
        <v>47.899159663865554</v>
      </c>
      <c r="AL67" s="58"/>
      <c r="AO67" s="71" t="str">
        <f>AB67</f>
        <v>Exptal</v>
      </c>
      <c r="AP67" s="72" t="str">
        <f>AC67</f>
        <v>Robin</v>
      </c>
      <c r="AQ67" s="5">
        <f t="shared" si="67"/>
        <v>3.987480407475377</v>
      </c>
      <c r="AR67" s="5">
        <f t="shared" si="52"/>
        <v>3.4641016151377544</v>
      </c>
      <c r="AS67" s="5">
        <f t="shared" si="53"/>
        <v>4.08656334834051</v>
      </c>
      <c r="AT67" s="3"/>
      <c r="AU67" s="3"/>
      <c r="AV67" s="5">
        <f>IF(AND(ISNUMBER(AR67),ISNUMBER(AQ67)),AR67-AQ67,"miss")</f>
        <v>-0.5233787923376227</v>
      </c>
      <c r="AW67" s="5">
        <f>IF(AND(ISNUMBER(AS67),ISNUMBER(AQ67)),AS67-AQ67,"miss")</f>
        <v>0.09908294086513303</v>
      </c>
      <c r="AX67" s="5">
        <f>IF(AND(ISNUMBER(AS67),ISNUMBER(AR67)),AS67-AR67,"miss")</f>
        <v>0.6224617332027558</v>
      </c>
      <c r="AY67" s="5"/>
      <c r="BB67" s="71" t="str">
        <f t="shared" si="81"/>
        <v>Exptal</v>
      </c>
      <c r="BC67" s="72" t="str">
        <f t="shared" si="82"/>
        <v>Robin</v>
      </c>
      <c r="BD67" s="156">
        <f t="shared" si="60"/>
        <v>0.4101512530517051</v>
      </c>
      <c r="BE67" s="156">
        <f t="shared" si="54"/>
        <v>0.3537416058896715</v>
      </c>
      <c r="BF67" s="156">
        <f t="shared" si="55"/>
        <v>0.4209813701965136</v>
      </c>
      <c r="BG67" s="3"/>
      <c r="BH67" s="3"/>
      <c r="BI67" s="157">
        <f t="shared" si="83"/>
        <v>-0.05640964716203356</v>
      </c>
      <c r="BJ67" s="157">
        <f t="shared" si="84"/>
        <v>0.010830117144808526</v>
      </c>
      <c r="BK67" s="157">
        <f t="shared" si="85"/>
        <v>0.06723976430684209</v>
      </c>
      <c r="BL67" s="157"/>
    </row>
    <row r="68" spans="2:64" ht="12.75">
      <c r="B68" s="71" t="str">
        <f t="shared" si="61"/>
        <v>Exptal</v>
      </c>
      <c r="C68" s="118" t="s">
        <v>1</v>
      </c>
      <c r="D68" s="22">
        <v>12.2</v>
      </c>
      <c r="E68" s="22">
        <v>9.3</v>
      </c>
      <c r="F68" s="22">
        <v>8.7</v>
      </c>
      <c r="H68" s="3"/>
      <c r="I68" s="5">
        <f t="shared" si="44"/>
        <v>-2.8999999999999986</v>
      </c>
      <c r="J68" s="5">
        <f t="shared" si="45"/>
        <v>-3.5</v>
      </c>
      <c r="K68" s="5">
        <f t="shared" si="46"/>
        <v>-0.6000000000000014</v>
      </c>
      <c r="L68" s="5"/>
      <c r="O68" s="71" t="str">
        <f t="shared" si="62"/>
        <v>Exptal</v>
      </c>
      <c r="P68" s="72" t="str">
        <f t="shared" si="80"/>
        <v>Sam</v>
      </c>
      <c r="Q68" s="5">
        <f t="shared" si="47"/>
        <v>250.14359517392109</v>
      </c>
      <c r="R68" s="5">
        <f t="shared" si="48"/>
        <v>223.00144001592105</v>
      </c>
      <c r="S68" s="5">
        <f t="shared" si="49"/>
        <v>216.33230256605378</v>
      </c>
      <c r="T68" s="5"/>
      <c r="U68" s="5"/>
      <c r="V68" s="5">
        <f t="shared" si="68"/>
        <v>-27.142155158000037</v>
      </c>
      <c r="W68" s="5">
        <f t="shared" si="69"/>
        <v>-33.8112926078673</v>
      </c>
      <c r="X68" s="5">
        <f t="shared" si="70"/>
        <v>-6.669137449867264</v>
      </c>
      <c r="Y68" s="5"/>
      <c r="AB68" s="71" t="str">
        <f t="shared" si="63"/>
        <v>Exptal</v>
      </c>
      <c r="AC68" s="72" t="str">
        <f t="shared" si="64"/>
        <v>Sam</v>
      </c>
      <c r="AD68" s="58">
        <f t="shared" si="57"/>
        <v>57.14285714285714</v>
      </c>
      <c r="AE68" s="58">
        <f t="shared" si="50"/>
        <v>12.605042016806722</v>
      </c>
      <c r="AF68" s="58">
        <f t="shared" si="51"/>
        <v>6.722689075630252</v>
      </c>
      <c r="AG68" s="3"/>
      <c r="AH68" s="3"/>
      <c r="AI68" s="58">
        <f t="shared" si="71"/>
        <v>-44.53781512605042</v>
      </c>
      <c r="AJ68" s="58">
        <f t="shared" si="72"/>
        <v>-50.42016806722689</v>
      </c>
      <c r="AK68" s="58">
        <f t="shared" si="73"/>
        <v>-5.88235294117647</v>
      </c>
      <c r="AL68" s="58"/>
      <c r="AO68" s="71" t="str">
        <f t="shared" si="65"/>
        <v>Exptal</v>
      </c>
      <c r="AP68" s="72" t="str">
        <f t="shared" si="66"/>
        <v>Sam</v>
      </c>
      <c r="AQ68" s="5">
        <f t="shared" si="67"/>
        <v>3.492849839314596</v>
      </c>
      <c r="AR68" s="5">
        <f t="shared" si="52"/>
        <v>3.0495901363953815</v>
      </c>
      <c r="AS68" s="5">
        <f t="shared" si="53"/>
        <v>2.949576240750525</v>
      </c>
      <c r="AT68" s="3"/>
      <c r="AU68" s="3"/>
      <c r="AV68" s="5">
        <f t="shared" si="74"/>
        <v>-0.4432597029192147</v>
      </c>
      <c r="AW68" s="5">
        <f t="shared" si="75"/>
        <v>-0.5432735985640713</v>
      </c>
      <c r="AX68" s="5">
        <f t="shared" si="76"/>
        <v>-0.10001389564485663</v>
      </c>
      <c r="AY68" s="5"/>
      <c r="BB68" s="71" t="str">
        <f t="shared" si="81"/>
        <v>Exptal</v>
      </c>
      <c r="BC68" s="72" t="str">
        <f t="shared" si="82"/>
        <v>Sam</v>
      </c>
      <c r="BD68" s="156">
        <f t="shared" si="60"/>
        <v>0.3568079176963816</v>
      </c>
      <c r="BE68" s="156">
        <f t="shared" si="54"/>
        <v>0.30989539260385907</v>
      </c>
      <c r="BF68" s="156">
        <f t="shared" si="55"/>
        <v>0.2994111693695443</v>
      </c>
      <c r="BG68" s="3"/>
      <c r="BH68" s="3"/>
      <c r="BI68" s="157">
        <f t="shared" si="83"/>
        <v>-0.04691252509252253</v>
      </c>
      <c r="BJ68" s="157">
        <f t="shared" si="84"/>
        <v>-0.05739674832683728</v>
      </c>
      <c r="BK68" s="157">
        <f t="shared" si="85"/>
        <v>-0.010484223234314749</v>
      </c>
      <c r="BL68" s="157"/>
    </row>
    <row r="69" spans="2:64" ht="12.75">
      <c r="B69" s="71" t="str">
        <f t="shared" si="61"/>
        <v>Exptal</v>
      </c>
      <c r="C69" s="118" t="s">
        <v>84</v>
      </c>
      <c r="D69" s="22">
        <v>12.7</v>
      </c>
      <c r="E69" s="22">
        <v>9.3</v>
      </c>
      <c r="F69" s="22">
        <v>10.2</v>
      </c>
      <c r="H69" s="3"/>
      <c r="I69" s="5">
        <f>IF(AND(ISNUMBER(E69),ISNUMBER(D69)),E69-D69,"miss")</f>
        <v>-3.3999999999999986</v>
      </c>
      <c r="J69" s="5">
        <f>IF(AND(ISNUMBER(F69),ISNUMBER(D69)),F69-D69,"miss")</f>
        <v>-2.5</v>
      </c>
      <c r="K69" s="5">
        <f>IF(AND(ISNUMBER(F69),ISNUMBER(E69)),F69-E69,"miss")</f>
        <v>0.8999999999999986</v>
      </c>
      <c r="L69" s="5"/>
      <c r="O69" s="71" t="str">
        <f>B69</f>
        <v>Exptal</v>
      </c>
      <c r="P69" s="72" t="str">
        <f t="shared" si="80"/>
        <v>Vivian</v>
      </c>
      <c r="Q69" s="5">
        <f t="shared" si="47"/>
        <v>254.16019934645456</v>
      </c>
      <c r="R69" s="5">
        <f t="shared" si="48"/>
        <v>223.00144001592105</v>
      </c>
      <c r="S69" s="5">
        <f t="shared" si="49"/>
        <v>232.23877202902253</v>
      </c>
      <c r="T69" s="5"/>
      <c r="U69" s="5"/>
      <c r="V69" s="5">
        <f>IF(AND(ISNUMBER(R69),ISNUMBER(Q69)),R69-Q69,"miss")</f>
        <v>-31.158759330533513</v>
      </c>
      <c r="W69" s="5">
        <f>IF(AND(ISNUMBER(S69),ISNUMBER(Q69)),S69-Q69,"miss")</f>
        <v>-21.921427317432034</v>
      </c>
      <c r="X69" s="5">
        <f>IF(AND(ISNUMBER(S69),ISNUMBER(R69)),S69-R69,"miss")</f>
        <v>9.23733201310148</v>
      </c>
      <c r="Y69" s="5"/>
      <c r="AB69" s="71" t="str">
        <f>O69</f>
        <v>Exptal</v>
      </c>
      <c r="AC69" s="72" t="str">
        <f>P69</f>
        <v>Vivian</v>
      </c>
      <c r="AD69" s="58">
        <f t="shared" si="57"/>
        <v>63.86554621848739</v>
      </c>
      <c r="AE69" s="58">
        <f t="shared" si="50"/>
        <v>12.605042016806722</v>
      </c>
      <c r="AF69" s="58">
        <f t="shared" si="51"/>
        <v>24.369747899159663</v>
      </c>
      <c r="AG69" s="3"/>
      <c r="AH69" s="3"/>
      <c r="AI69" s="58">
        <f>IF(AND(ISNUMBER(AE69),ISNUMBER(AD69)),AE69-AD69,"miss")</f>
        <v>-51.26050420168067</v>
      </c>
      <c r="AJ69" s="58">
        <f>IF(AND(ISNUMBER(AF69),ISNUMBER(AD69)),AF69-AD69,"miss")</f>
        <v>-39.495798319327726</v>
      </c>
      <c r="AK69" s="58">
        <f>IF(AND(ISNUMBER(AF69),ISNUMBER(AE69)),AF69-AE69,"miss")</f>
        <v>11.76470588235294</v>
      </c>
      <c r="AL69" s="58"/>
      <c r="AO69" s="71" t="str">
        <f>AB69</f>
        <v>Exptal</v>
      </c>
      <c r="AP69" s="72" t="str">
        <f>AC69</f>
        <v>Vivian</v>
      </c>
      <c r="AQ69" s="5">
        <f t="shared" si="67"/>
        <v>3.5637059362410923</v>
      </c>
      <c r="AR69" s="5">
        <f t="shared" si="52"/>
        <v>3.0495901363953815</v>
      </c>
      <c r="AS69" s="5">
        <f t="shared" si="53"/>
        <v>3.1937438845342623</v>
      </c>
      <c r="AT69" s="3"/>
      <c r="AU69" s="3"/>
      <c r="AV69" s="5">
        <f>IF(AND(ISNUMBER(AR69),ISNUMBER(AQ69)),AR69-AQ69,"miss")</f>
        <v>-0.5141157998457109</v>
      </c>
      <c r="AW69" s="5">
        <f>IF(AND(ISNUMBER(AS69),ISNUMBER(AQ69)),AS69-AQ69,"miss")</f>
        <v>-0.36996205170683005</v>
      </c>
      <c r="AX69" s="5">
        <f>IF(AND(ISNUMBER(AS69),ISNUMBER(AR69)),AS69-AR69,"miss")</f>
        <v>0.14415374813888082</v>
      </c>
      <c r="AY69" s="5"/>
      <c r="BB69" s="71" t="str">
        <f t="shared" si="81"/>
        <v>Exptal</v>
      </c>
      <c r="BC69" s="72" t="str">
        <f t="shared" si="82"/>
        <v>Vivian</v>
      </c>
      <c r="BD69" s="156">
        <f t="shared" si="60"/>
        <v>0.3643805612999323</v>
      </c>
      <c r="BE69" s="156">
        <f t="shared" si="54"/>
        <v>0.30989539260385907</v>
      </c>
      <c r="BF69" s="156">
        <f t="shared" si="55"/>
        <v>0.325069227363818</v>
      </c>
      <c r="BG69" s="3"/>
      <c r="BH69" s="3"/>
      <c r="BI69" s="157">
        <f t="shared" si="83"/>
        <v>-0.05448516869607323</v>
      </c>
      <c r="BJ69" s="157">
        <f t="shared" si="84"/>
        <v>-0.0393113339361143</v>
      </c>
      <c r="BK69" s="157">
        <f t="shared" si="85"/>
        <v>0.015173834759958926</v>
      </c>
      <c r="BL69" s="157"/>
    </row>
    <row r="70" spans="2:64" ht="12.75">
      <c r="B70" s="71" t="str">
        <f t="shared" si="61"/>
        <v>Exptal</v>
      </c>
      <c r="C70" s="118" t="s">
        <v>78</v>
      </c>
      <c r="D70" s="22">
        <v>10.4</v>
      </c>
      <c r="E70" s="22">
        <v>9.8</v>
      </c>
      <c r="F70" s="22">
        <v>10.9</v>
      </c>
      <c r="H70" s="3"/>
      <c r="I70" s="5">
        <f t="shared" si="44"/>
        <v>-0.5999999999999996</v>
      </c>
      <c r="J70" s="5">
        <f t="shared" si="45"/>
        <v>0.5</v>
      </c>
      <c r="K70" s="5">
        <f t="shared" si="46"/>
        <v>1.0999999999999996</v>
      </c>
      <c r="L70" s="5"/>
      <c r="O70" s="71" t="str">
        <f t="shared" si="62"/>
        <v>Exptal</v>
      </c>
      <c r="P70" s="72" t="str">
        <f t="shared" si="80"/>
        <v>Wil</v>
      </c>
      <c r="Q70" s="5">
        <f t="shared" si="47"/>
        <v>234.1805806147327</v>
      </c>
      <c r="R70" s="5">
        <f t="shared" si="48"/>
        <v>228.23823856765264</v>
      </c>
      <c r="S70" s="5">
        <f t="shared" si="49"/>
        <v>238.8762789235098</v>
      </c>
      <c r="T70" s="5"/>
      <c r="U70" s="5"/>
      <c r="V70" s="5">
        <f t="shared" si="68"/>
        <v>-5.9423420470800465</v>
      </c>
      <c r="W70" s="5">
        <f t="shared" si="69"/>
        <v>4.695698308777111</v>
      </c>
      <c r="X70" s="5">
        <f t="shared" si="70"/>
        <v>10.638040355857157</v>
      </c>
      <c r="Y70" s="5"/>
      <c r="AB70" s="71" t="str">
        <f t="shared" si="63"/>
        <v>Exptal</v>
      </c>
      <c r="AC70" s="72" t="str">
        <f t="shared" si="64"/>
        <v>Wil</v>
      </c>
      <c r="AD70" s="58">
        <f t="shared" si="57"/>
        <v>28.57142857142857</v>
      </c>
      <c r="AE70" s="58">
        <f t="shared" si="50"/>
        <v>19.327731092436977</v>
      </c>
      <c r="AF70" s="58">
        <f t="shared" si="51"/>
        <v>36.134453781512605</v>
      </c>
      <c r="AG70" s="3"/>
      <c r="AH70" s="3"/>
      <c r="AI70" s="58">
        <f t="shared" si="71"/>
        <v>-9.243697478991592</v>
      </c>
      <c r="AJ70" s="58">
        <f t="shared" si="72"/>
        <v>7.563025210084035</v>
      </c>
      <c r="AK70" s="58">
        <f t="shared" si="73"/>
        <v>16.806722689075627</v>
      </c>
      <c r="AL70" s="58"/>
      <c r="AO70" s="71" t="str">
        <f t="shared" si="65"/>
        <v>Exptal</v>
      </c>
      <c r="AP70" s="72" t="str">
        <f t="shared" si="66"/>
        <v>Wil</v>
      </c>
      <c r="AQ70" s="5">
        <f t="shared" si="67"/>
        <v>3.22490309931942</v>
      </c>
      <c r="AR70" s="5">
        <f t="shared" si="52"/>
        <v>3.1304951684997055</v>
      </c>
      <c r="AS70" s="5">
        <f t="shared" si="53"/>
        <v>3.3015148038438356</v>
      </c>
      <c r="AT70" s="3"/>
      <c r="AU70" s="3"/>
      <c r="AV70" s="5">
        <f t="shared" si="74"/>
        <v>-0.09440793081971455</v>
      </c>
      <c r="AW70" s="5">
        <f t="shared" si="75"/>
        <v>0.07661170452441546</v>
      </c>
      <c r="AX70" s="5">
        <f t="shared" si="76"/>
        <v>0.17101963534413</v>
      </c>
      <c r="AY70" s="5"/>
      <c r="BB70" s="71" t="str">
        <f t="shared" si="81"/>
        <v>Exptal</v>
      </c>
      <c r="BC70" s="72" t="str">
        <f t="shared" si="82"/>
        <v>Wil</v>
      </c>
      <c r="BD70" s="156">
        <f t="shared" si="60"/>
        <v>0.3283591823743521</v>
      </c>
      <c r="BE70" s="156">
        <f t="shared" si="54"/>
        <v>0.3184022478849735</v>
      </c>
      <c r="BF70" s="156">
        <f t="shared" si="55"/>
        <v>0.3364640494061336</v>
      </c>
      <c r="BG70" s="3"/>
      <c r="BH70" s="3"/>
      <c r="BI70" s="157">
        <f t="shared" si="83"/>
        <v>-0.009956934489378566</v>
      </c>
      <c r="BJ70" s="157">
        <f t="shared" si="84"/>
        <v>0.008104867031781537</v>
      </c>
      <c r="BK70" s="157">
        <f t="shared" si="85"/>
        <v>0.018061801521160104</v>
      </c>
      <c r="BL70" s="157"/>
    </row>
    <row r="71" spans="2:64" ht="12.75">
      <c r="B71" s="64"/>
      <c r="C71" s="7" t="s">
        <v>2</v>
      </c>
      <c r="D71" s="107">
        <f>AVERAGE(D51:D70)</f>
        <v>12.24</v>
      </c>
      <c r="E71" s="6"/>
      <c r="F71" s="6"/>
      <c r="G71" s="6"/>
      <c r="H71" s="7" t="s">
        <v>2</v>
      </c>
      <c r="I71" s="107">
        <f>AVERAGE(I51:I70)</f>
        <v>-1.1949999999999998</v>
      </c>
      <c r="J71" s="107">
        <f>AVERAGE(J51:J70)</f>
        <v>-0.7500000000000002</v>
      </c>
      <c r="K71" s="107">
        <f>AVERAGE(K51:K70)</f>
        <v>0.44499999999999956</v>
      </c>
      <c r="L71" s="107" t="e">
        <f>AVERAGE(L51:L70)</f>
        <v>#DIV/0!</v>
      </c>
      <c r="P71" s="7" t="s">
        <v>14</v>
      </c>
      <c r="Q71" s="8">
        <f>AVERAGE(Q51:Q70)</f>
        <v>248.54943091498967</v>
      </c>
      <c r="R71" s="8"/>
      <c r="S71" s="8"/>
      <c r="T71" s="8"/>
      <c r="U71" s="7" t="s">
        <v>2</v>
      </c>
      <c r="V71" s="8">
        <f>AVERAGE(V51:V70)</f>
        <v>-10.675052048966972</v>
      </c>
      <c r="W71" s="8">
        <f>AVERAGE(W51:W70)</f>
        <v>-6.727368346895848</v>
      </c>
      <c r="X71" s="8">
        <f>AVERAGE(X51:X70)</f>
        <v>3.947683702071123</v>
      </c>
      <c r="Y71" s="8" t="e">
        <f>AVERAGE(Y51:Y70)</f>
        <v>#DIV/0!</v>
      </c>
      <c r="AC71" s="7" t="s">
        <v>125</v>
      </c>
      <c r="AD71" s="8">
        <f>AVERAGE(AD51:AD70)</f>
        <v>56.76470588235295</v>
      </c>
      <c r="AE71" s="8"/>
      <c r="AF71" s="8"/>
      <c r="AG71" s="8"/>
      <c r="AH71" s="7" t="s">
        <v>2</v>
      </c>
      <c r="AI71" s="8">
        <f>AVERAGE(AI51:AI70)</f>
        <v>-14.327731092436974</v>
      </c>
      <c r="AJ71" s="8">
        <f>AVERAGE(AJ51:AJ70)</f>
        <v>-10.042016806722689</v>
      </c>
      <c r="AK71" s="8">
        <f>AVERAGE(AK51:AK70)</f>
        <v>4.2857142857142865</v>
      </c>
      <c r="AL71" s="8" t="e">
        <f>AVERAGE(AL51:AL70)</f>
        <v>#DIV/0!</v>
      </c>
      <c r="AP71" s="7" t="s">
        <v>44</v>
      </c>
      <c r="AQ71" s="8">
        <f>AVERAGE(AQ51:AQ70)</f>
        <v>3.4822553613690372</v>
      </c>
      <c r="AR71" s="8"/>
      <c r="AS71" s="8"/>
      <c r="AT71" s="8"/>
      <c r="AU71" s="7" t="s">
        <v>2</v>
      </c>
      <c r="AV71" s="6">
        <f>AVERAGE(AV51:AV70)</f>
        <v>-0.17740167327551376</v>
      </c>
      <c r="AW71" s="6">
        <f>AVERAGE(AW51:AW70)</f>
        <v>-0.11201135423444623</v>
      </c>
      <c r="AX71" s="6">
        <f>AVERAGE(AX51:AX70)</f>
        <v>0.06539031904106751</v>
      </c>
      <c r="AY71" s="6" t="e">
        <f>AVERAGE(AY51:AY70)</f>
        <v>#DIV/0!</v>
      </c>
      <c r="BC71" s="7" t="s">
        <v>44</v>
      </c>
      <c r="BD71" s="6">
        <f>AVERAGE(BD51:BD70)</f>
        <v>0.35591252495583486</v>
      </c>
      <c r="BE71" s="6"/>
      <c r="BF71" s="6"/>
      <c r="BG71" s="8"/>
      <c r="BH71" s="7" t="s">
        <v>2</v>
      </c>
      <c r="BI71" s="158">
        <f>AVERAGE(BI51:BI70)</f>
        <v>-0.018861150490757463</v>
      </c>
      <c r="BJ71" s="158">
        <f>AVERAGE(BJ51:BJ70)</f>
        <v>-0.011892238645106721</v>
      </c>
      <c r="BK71" s="158">
        <f>AVERAGE(BK51:BK70)</f>
        <v>0.006968911845650741</v>
      </c>
      <c r="BL71" s="158" t="e">
        <f>AVERAGE(BL51:BL70)</f>
        <v>#DIV/0!</v>
      </c>
    </row>
    <row r="72" spans="2:64" ht="12.75">
      <c r="B72" s="64"/>
      <c r="C72" s="7" t="s">
        <v>3</v>
      </c>
      <c r="D72" s="107">
        <f>STDEV(D51:D70)</f>
        <v>2.346868013690628</v>
      </c>
      <c r="E72" s="6"/>
      <c r="F72" s="6"/>
      <c r="G72" s="6"/>
      <c r="H72" s="7" t="s">
        <v>3</v>
      </c>
      <c r="I72" s="107">
        <f>STDEV(I51:I70)</f>
        <v>1.1357700842206249</v>
      </c>
      <c r="J72" s="107">
        <f>STDEV(J51:J70)</f>
        <v>1.4125378429956261</v>
      </c>
      <c r="K72" s="107">
        <f>STDEV(K51:K70)</f>
        <v>1.4110373190633454</v>
      </c>
      <c r="L72" s="107" t="e">
        <f>STDEV(L51:L70)</f>
        <v>#DIV/0!</v>
      </c>
      <c r="P72" s="7" t="s">
        <v>15</v>
      </c>
      <c r="Q72" s="8">
        <f>STDEV(Q51:Q70)</f>
        <v>20.645011704353088</v>
      </c>
      <c r="R72" s="8"/>
      <c r="S72" s="8"/>
      <c r="T72" s="8"/>
      <c r="U72" s="7" t="s">
        <v>3</v>
      </c>
      <c r="V72" s="8">
        <f>STDEV(V51:V70)</f>
        <v>10.021395864313115</v>
      </c>
      <c r="W72" s="8">
        <f>STDEV(W51:W70)</f>
        <v>12.609074446532269</v>
      </c>
      <c r="X72" s="8">
        <f>STDEV(X51:X70)</f>
        <v>11.797841977602532</v>
      </c>
      <c r="Y72" s="8" t="e">
        <f>STDEV(Y51:Y70)</f>
        <v>#DIV/0!</v>
      </c>
      <c r="AC72" s="7" t="s">
        <v>126</v>
      </c>
      <c r="AD72" s="8">
        <f>STDEV(AD51:AD70)</f>
        <v>31.563397073471698</v>
      </c>
      <c r="AE72" s="8"/>
      <c r="AF72" s="8"/>
      <c r="AG72" s="8"/>
      <c r="AH72" s="7" t="s">
        <v>3</v>
      </c>
      <c r="AI72" s="8">
        <f>STDEV(AI51:AI70)</f>
        <v>16.16987809168727</v>
      </c>
      <c r="AJ72" s="8">
        <f>STDEV(AJ51:AJ70)</f>
        <v>21.601491167650888</v>
      </c>
      <c r="AK72" s="8">
        <f>STDEV(AK51:AK70)</f>
        <v>17.552875181273453</v>
      </c>
      <c r="AL72" s="8" t="e">
        <f>STDEV(AL51:AL70)</f>
        <v>#DIV/0!</v>
      </c>
      <c r="AP72" s="7" t="s">
        <v>45</v>
      </c>
      <c r="AQ72" s="8">
        <f>STDEV(AQ51:AQ70)</f>
        <v>0.3462545431457158</v>
      </c>
      <c r="AR72" s="8"/>
      <c r="AS72" s="8"/>
      <c r="AT72" s="8"/>
      <c r="AU72" s="7" t="s">
        <v>3</v>
      </c>
      <c r="AV72" s="6">
        <f>STDEV(AV51:AV70)</f>
        <v>0.16603718163568115</v>
      </c>
      <c r="AW72" s="6">
        <f>STDEV(AW51:AW70)</f>
        <v>0.2097186093071655</v>
      </c>
      <c r="AX72" s="6">
        <f>STDEV(AX51:AX70)</f>
        <v>0.20108848220284964</v>
      </c>
      <c r="AY72" s="6" t="e">
        <f>STDEV(AY51:AY70)</f>
        <v>#DIV/0!</v>
      </c>
      <c r="BC72" s="7" t="s">
        <v>45</v>
      </c>
      <c r="BD72" s="6">
        <f>STDEV(BD51:BD70)</f>
        <v>0.036821534196650865</v>
      </c>
      <c r="BE72" s="6"/>
      <c r="BF72" s="6"/>
      <c r="BG72" s="8"/>
      <c r="BH72" s="7" t="s">
        <v>3</v>
      </c>
      <c r="BI72" s="158">
        <f>STDEV(BI51:BI70)</f>
        <v>0.01766272378081119</v>
      </c>
      <c r="BJ72" s="158">
        <f>STDEV(BJ51:BJ70)</f>
        <v>0.022277824626244207</v>
      </c>
      <c r="BK72" s="158">
        <f>STDEV(BK51:BK70)</f>
        <v>0.021481715829788025</v>
      </c>
      <c r="BL72" s="158" t="e">
        <f>STDEV(BL51:BL70)</f>
        <v>#DIV/0!</v>
      </c>
    </row>
    <row r="73" spans="2:64" ht="12.75">
      <c r="B73" s="64"/>
      <c r="C73" s="7" t="s">
        <v>121</v>
      </c>
      <c r="D73" s="171">
        <f>COUNT(D51:D70)</f>
        <v>20</v>
      </c>
      <c r="E73" s="6"/>
      <c r="F73" s="6"/>
      <c r="G73" s="6"/>
      <c r="H73" s="6"/>
      <c r="I73" s="6"/>
      <c r="J73" s="6"/>
      <c r="K73" s="6"/>
      <c r="L73" s="6"/>
      <c r="P73" s="7" t="s">
        <v>11</v>
      </c>
      <c r="Q73" s="108">
        <f>EXP(Q71/100)</f>
        <v>12.007053984809861</v>
      </c>
      <c r="R73" s="8"/>
      <c r="S73" s="8"/>
      <c r="T73" s="8"/>
      <c r="U73" s="8" t="s">
        <v>167</v>
      </c>
      <c r="V73" s="108">
        <f aca="true" t="shared" si="86" ref="V73:X74">100*EXP(V71/100)-100</f>
        <v>-10.125013530032163</v>
      </c>
      <c r="W73" s="108">
        <f t="shared" si="86"/>
        <v>-6.506071110897821</v>
      </c>
      <c r="X73" s="108">
        <f t="shared" si="86"/>
        <v>4.026640293674603</v>
      </c>
      <c r="Y73" s="108" t="e">
        <f>100*EXP(Y71/100)-100</f>
        <v>#DIV/0!</v>
      </c>
      <c r="AC73" s="7" t="s">
        <v>11</v>
      </c>
      <c r="AD73" s="107">
        <f>PERCENTILE(allraw,AD71/100)</f>
        <v>12.198235294117648</v>
      </c>
      <c r="AE73" s="120"/>
      <c r="AF73" s="120"/>
      <c r="AG73" s="6"/>
      <c r="AH73" s="6"/>
      <c r="AI73" s="6"/>
      <c r="AJ73" s="6"/>
      <c r="AK73" s="6"/>
      <c r="AL73" s="6"/>
      <c r="AP73" s="7" t="s">
        <v>11</v>
      </c>
      <c r="AQ73" s="107">
        <f>AQ71^2</f>
        <v>12.126102401783404</v>
      </c>
      <c r="AR73" s="6"/>
      <c r="AS73" s="6"/>
      <c r="AT73" s="6"/>
      <c r="AU73" s="6"/>
      <c r="AV73" s="6"/>
      <c r="AW73" s="6"/>
      <c r="AX73" s="6"/>
      <c r="AY73" s="6"/>
      <c r="BC73" s="7" t="s">
        <v>11</v>
      </c>
      <c r="BD73" s="108">
        <f>100*SIN(BD71)^2</f>
        <v>12.141450774677711</v>
      </c>
      <c r="BE73" s="108"/>
      <c r="BF73" s="108"/>
      <c r="BG73" s="6"/>
      <c r="BH73" s="6"/>
      <c r="BI73" s="6"/>
      <c r="BJ73" s="6"/>
      <c r="BK73" s="6"/>
      <c r="BL73" s="6"/>
    </row>
    <row r="74" spans="2:64" ht="12.75">
      <c r="B74" s="64"/>
      <c r="C74" s="7"/>
      <c r="D74" s="6"/>
      <c r="E74" s="6"/>
      <c r="F74" s="6"/>
      <c r="G74" s="6"/>
      <c r="H74" s="6"/>
      <c r="I74" s="6"/>
      <c r="J74" s="6"/>
      <c r="K74" s="6"/>
      <c r="L74" s="6"/>
      <c r="P74" s="7" t="s">
        <v>12</v>
      </c>
      <c r="Q74" s="108">
        <f>100*EXP(Q72/100)-100</f>
        <v>22.930641124939015</v>
      </c>
      <c r="R74" s="8"/>
      <c r="S74" s="8"/>
      <c r="T74" s="8"/>
      <c r="U74" s="7" t="s">
        <v>12</v>
      </c>
      <c r="V74" s="108">
        <f t="shared" si="86"/>
        <v>10.540740424393476</v>
      </c>
      <c r="W74" s="108">
        <f t="shared" si="86"/>
        <v>13.438510278220832</v>
      </c>
      <c r="X74" s="108">
        <f t="shared" si="86"/>
        <v>12.521982860940753</v>
      </c>
      <c r="Y74" s="108" t="e">
        <f>100*EXP(Y72/100)-100</f>
        <v>#DIV/0!</v>
      </c>
      <c r="AC74" s="7" t="s">
        <v>90</v>
      </c>
      <c r="AD74" s="107">
        <f>(PERCENTILE(allraw,(AD71+AD72)/100)-PERCENTILE(allraw,(AD71-AD72)/100))/2</f>
        <v>1.8858389290633149</v>
      </c>
      <c r="AE74" s="6"/>
      <c r="AF74" s="6"/>
      <c r="AG74" s="6"/>
      <c r="AH74" s="6"/>
      <c r="AI74" s="6"/>
      <c r="AJ74" s="6"/>
      <c r="AK74" s="6"/>
      <c r="AL74" s="6"/>
      <c r="AP74" s="7" t="s">
        <v>90</v>
      </c>
      <c r="AQ74" s="107">
        <f>((AQ71+AQ72)^2-(AQ71-AQ72)^2)/2</f>
        <v>2.411493478535112</v>
      </c>
      <c r="AR74" s="6"/>
      <c r="AS74" s="6"/>
      <c r="AT74" s="6"/>
      <c r="AU74" s="6"/>
      <c r="AV74" s="6"/>
      <c r="AW74" s="6"/>
      <c r="AX74" s="6"/>
      <c r="AY74" s="6"/>
      <c r="BC74" s="7" t="s">
        <v>90</v>
      </c>
      <c r="BD74" s="108">
        <f>100*(SIN(BD71+BD72)^2-SIN(BD71-BD72)^2)/2</f>
        <v>2.403070755731979</v>
      </c>
      <c r="BE74" s="108"/>
      <c r="BF74" s="108"/>
      <c r="BG74" s="6"/>
      <c r="BH74" s="6"/>
      <c r="BI74" s="6"/>
      <c r="BJ74" s="6"/>
      <c r="BK74" s="6"/>
      <c r="BL74" s="6"/>
    </row>
    <row r="75" spans="2:64" ht="12.75">
      <c r="B75" s="64"/>
      <c r="C75" s="7"/>
      <c r="D75" s="6"/>
      <c r="E75" s="6"/>
      <c r="F75" s="6"/>
      <c r="G75" s="6"/>
      <c r="H75" s="6"/>
      <c r="I75" s="6"/>
      <c r="J75" s="6"/>
      <c r="K75" s="6"/>
      <c r="L75" s="6"/>
      <c r="P75" s="7" t="s">
        <v>13</v>
      </c>
      <c r="Q75" s="107">
        <f>EXP(Q72/100)</f>
        <v>1.22930641124939</v>
      </c>
      <c r="R75" s="6"/>
      <c r="S75" s="6"/>
      <c r="T75" s="6"/>
      <c r="U75" s="7" t="s">
        <v>168</v>
      </c>
      <c r="V75" s="111">
        <f aca="true" t="shared" si="87" ref="V75:Y76">EXP(V71/100)</f>
        <v>0.8987498646996784</v>
      </c>
      <c r="W75" s="111">
        <f t="shared" si="87"/>
        <v>0.9349392888910217</v>
      </c>
      <c r="X75" s="111">
        <f t="shared" si="87"/>
        <v>1.040266402936746</v>
      </c>
      <c r="Y75" s="111" t="e">
        <f t="shared" si="87"/>
        <v>#DIV/0!</v>
      </c>
      <c r="AC75" s="7"/>
      <c r="AD75" s="6"/>
      <c r="AE75" s="6"/>
      <c r="AF75" s="6"/>
      <c r="AG75" s="6"/>
      <c r="AH75" s="6"/>
      <c r="AI75" s="6"/>
      <c r="AJ75" s="6"/>
      <c r="AK75" s="6"/>
      <c r="AL75" s="6"/>
      <c r="AP75" s="7"/>
      <c r="AQ75" s="6"/>
      <c r="AR75" s="6"/>
      <c r="AS75" s="6"/>
      <c r="AT75" s="6"/>
      <c r="AU75" s="6"/>
      <c r="AV75" s="6"/>
      <c r="AW75" s="6"/>
      <c r="AX75" s="6"/>
      <c r="AY75" s="6"/>
      <c r="BC75" s="7"/>
      <c r="BD75" s="6"/>
      <c r="BE75" s="6"/>
      <c r="BF75" s="6"/>
      <c r="BG75" s="6"/>
      <c r="BH75" s="6"/>
      <c r="BI75" s="6"/>
      <c r="BJ75" s="6"/>
      <c r="BK75" s="6"/>
      <c r="BL75" s="6"/>
    </row>
    <row r="76" spans="2:64" ht="12.75">
      <c r="B76" s="64"/>
      <c r="C76" s="7"/>
      <c r="D76" s="6"/>
      <c r="E76" s="6"/>
      <c r="F76" s="6"/>
      <c r="G76" s="6"/>
      <c r="H76" s="6"/>
      <c r="I76" s="6"/>
      <c r="J76" s="6"/>
      <c r="K76" s="6"/>
      <c r="L76" s="6"/>
      <c r="P76" s="7"/>
      <c r="Q76" s="6"/>
      <c r="R76" s="6"/>
      <c r="S76" s="6"/>
      <c r="T76" s="6"/>
      <c r="U76" s="7" t="s">
        <v>13</v>
      </c>
      <c r="V76" s="107">
        <f t="shared" si="87"/>
        <v>1.1054074042439348</v>
      </c>
      <c r="W76" s="107">
        <f t="shared" si="87"/>
        <v>1.1343851027822083</v>
      </c>
      <c r="X76" s="107">
        <f t="shared" si="87"/>
        <v>1.1252198286094075</v>
      </c>
      <c r="Y76" s="107" t="e">
        <f t="shared" si="87"/>
        <v>#DIV/0!</v>
      </c>
      <c r="AC76" s="7"/>
      <c r="AD76" s="6"/>
      <c r="AE76" s="6"/>
      <c r="AF76" s="6"/>
      <c r="AG76" s="6"/>
      <c r="AH76" s="6"/>
      <c r="AI76" s="6"/>
      <c r="AJ76" s="6"/>
      <c r="AK76" s="6"/>
      <c r="AL76" s="6"/>
      <c r="AP76" s="7"/>
      <c r="AQ76" s="6"/>
      <c r="AR76" s="6"/>
      <c r="AS76" s="6"/>
      <c r="AT76" s="6"/>
      <c r="AU76" s="6"/>
      <c r="AV76" s="6"/>
      <c r="AW76" s="6"/>
      <c r="AX76" s="6"/>
      <c r="AY76" s="6"/>
      <c r="BC76" s="7"/>
      <c r="BD76" s="6"/>
      <c r="BE76" s="6"/>
      <c r="BF76" s="6"/>
      <c r="BG76" s="6"/>
      <c r="BH76" s="6"/>
      <c r="BI76" s="6"/>
      <c r="BJ76" s="6"/>
      <c r="BK76" s="6"/>
      <c r="BL76" s="6"/>
    </row>
    <row r="77" spans="2:64" s="13" customFormat="1" ht="12.75">
      <c r="B77" s="64"/>
      <c r="C77" s="152" t="s">
        <v>136</v>
      </c>
      <c r="E77" s="12"/>
      <c r="F77" s="12"/>
      <c r="G77" s="12"/>
      <c r="H77" s="179"/>
      <c r="I77" s="12"/>
      <c r="J77" s="12"/>
      <c r="K77" s="12"/>
      <c r="L77" s="12"/>
      <c r="P77" s="152" t="s">
        <v>136</v>
      </c>
      <c r="Q77" s="12"/>
      <c r="R77" s="12"/>
      <c r="U77" s="179"/>
      <c r="W77" s="110"/>
      <c r="X77" s="110"/>
      <c r="Y77" s="110"/>
      <c r="AC77" s="152" t="s">
        <v>136</v>
      </c>
      <c r="AD77" s="12"/>
      <c r="AE77" s="12"/>
      <c r="AF77" s="12"/>
      <c r="AG77" s="12"/>
      <c r="AH77" s="179"/>
      <c r="AI77" s="12"/>
      <c r="AJ77" s="12"/>
      <c r="AK77" s="12"/>
      <c r="AL77" s="12"/>
      <c r="AP77" s="152" t="s">
        <v>136</v>
      </c>
      <c r="AQ77" s="12"/>
      <c r="AR77" s="12"/>
      <c r="AS77" s="12"/>
      <c r="AT77" s="12"/>
      <c r="AU77" s="12"/>
      <c r="AV77" s="12"/>
      <c r="AW77" s="12"/>
      <c r="AX77" s="12"/>
      <c r="AY77" s="12"/>
      <c r="BC77" s="152" t="s">
        <v>136</v>
      </c>
      <c r="BD77" s="12"/>
      <c r="BE77" s="12"/>
      <c r="BF77" s="12"/>
      <c r="BG77" s="12"/>
      <c r="BH77" s="12"/>
      <c r="BI77" s="12"/>
      <c r="BJ77" s="12"/>
      <c r="BK77" s="12"/>
      <c r="BL77" s="12"/>
    </row>
    <row r="78" spans="2:64" s="13" customFormat="1" ht="12.75">
      <c r="B78" s="64"/>
      <c r="C78" s="10" t="s">
        <v>134</v>
      </c>
      <c r="D78" s="121">
        <f>AVERAGE(D24:D43,D51:D70)</f>
        <v>12.119999999999996</v>
      </c>
      <c r="E78" s="12"/>
      <c r="F78" s="12"/>
      <c r="G78" s="12"/>
      <c r="H78" s="10"/>
      <c r="I78" s="182"/>
      <c r="J78" s="182"/>
      <c r="K78" s="182"/>
      <c r="L78" s="182"/>
      <c r="P78" s="10" t="s">
        <v>143</v>
      </c>
      <c r="Q78" s="127">
        <f>AVERAGE(Q24:Q43,Q51:Q70)</f>
        <v>247.88722329886053</v>
      </c>
      <c r="R78" s="12"/>
      <c r="U78" s="10"/>
      <c r="V78" s="180"/>
      <c r="W78" s="180"/>
      <c r="X78" s="180"/>
      <c r="Y78" s="180"/>
      <c r="AC78" s="10" t="s">
        <v>125</v>
      </c>
      <c r="AD78" s="1">
        <f>AVERAGE(AD24:AD43,AD51:AD70)</f>
        <v>53.84453781512606</v>
      </c>
      <c r="AE78" s="12"/>
      <c r="AF78" s="12"/>
      <c r="AG78" s="12"/>
      <c r="AH78" s="10"/>
      <c r="AI78" s="180"/>
      <c r="AJ78" s="12"/>
      <c r="AK78" s="12"/>
      <c r="AL78" s="12"/>
      <c r="AP78" s="10" t="s">
        <v>145</v>
      </c>
      <c r="AQ78" s="1">
        <f>AVERAGE(AQ24:AQ43,AQ51:AQ70)</f>
        <v>3.4676911428707493</v>
      </c>
      <c r="AR78" s="12"/>
      <c r="AS78" s="12"/>
      <c r="AT78" s="12"/>
      <c r="AW78" s="12"/>
      <c r="AX78" s="12"/>
      <c r="AY78" s="12"/>
      <c r="BC78" s="10" t="s">
        <v>145</v>
      </c>
      <c r="BD78" s="175">
        <f>AVERAGE(BD24:BD43,BD51:BD70)</f>
        <v>0.3543226249156572</v>
      </c>
      <c r="BE78" s="12"/>
      <c r="BF78" s="12"/>
      <c r="BG78" s="12"/>
      <c r="BH78" s="12"/>
      <c r="BI78" s="12"/>
      <c r="BJ78" s="12"/>
      <c r="BK78" s="12"/>
      <c r="BL78" s="12"/>
    </row>
    <row r="79" spans="3:64" s="13" customFormat="1" ht="12.75">
      <c r="C79" s="10" t="s">
        <v>135</v>
      </c>
      <c r="D79" s="121">
        <f>STDEV(D24:D43,D51:D70)</f>
        <v>2.1462190965175325</v>
      </c>
      <c r="E79" s="12"/>
      <c r="F79" s="12"/>
      <c r="G79" s="12"/>
      <c r="H79" s="10"/>
      <c r="I79" s="182"/>
      <c r="J79" s="182"/>
      <c r="K79" s="182"/>
      <c r="L79" s="182"/>
      <c r="P79" s="10" t="s">
        <v>144</v>
      </c>
      <c r="Q79" s="127">
        <f>STDEV(Q24:Q43,Q51:Q70)</f>
        <v>18.360015129048772</v>
      </c>
      <c r="R79" s="12"/>
      <c r="U79" s="10"/>
      <c r="V79" s="181"/>
      <c r="W79" s="181"/>
      <c r="X79" s="181"/>
      <c r="Y79" s="181"/>
      <c r="AC79" s="10" t="s">
        <v>126</v>
      </c>
      <c r="AD79" s="1">
        <f>STDEV(AD24:AD43,AD51:AD70)</f>
        <v>29.20907007587212</v>
      </c>
      <c r="AE79" s="12"/>
      <c r="AF79" s="12"/>
      <c r="AG79" s="12"/>
      <c r="AH79" s="10"/>
      <c r="AI79" s="181"/>
      <c r="AJ79" s="12"/>
      <c r="AK79" s="12"/>
      <c r="AL79" s="12"/>
      <c r="AP79" s="10" t="s">
        <v>146</v>
      </c>
      <c r="AQ79" s="1">
        <f>STDEV(AQ24:AQ43,AQ51:AQ70)</f>
        <v>0.3123412625035509</v>
      </c>
      <c r="AR79" s="12"/>
      <c r="AS79" s="12"/>
      <c r="AT79" s="12"/>
      <c r="AW79" s="12"/>
      <c r="AX79" s="12"/>
      <c r="AY79" s="12"/>
      <c r="BC79" s="10" t="s">
        <v>146</v>
      </c>
      <c r="BD79" s="175">
        <f>STDEV(BD24:BD43,BD51:BD70)</f>
        <v>0.03327356109384144</v>
      </c>
      <c r="BE79" s="12"/>
      <c r="BF79" s="12"/>
      <c r="BG79" s="12"/>
      <c r="BH79" s="12"/>
      <c r="BI79" s="12"/>
      <c r="BJ79" s="12"/>
      <c r="BK79" s="12"/>
      <c r="BL79" s="12"/>
    </row>
    <row r="80" spans="3:64" s="13" customFormat="1" ht="12.75">
      <c r="C80" s="173" t="s">
        <v>123</v>
      </c>
      <c r="D80" s="174">
        <f>D46+D73</f>
        <v>40</v>
      </c>
      <c r="E80" s="12"/>
      <c r="F80" s="12"/>
      <c r="G80" s="12"/>
      <c r="H80" s="10"/>
      <c r="I80" s="182"/>
      <c r="J80" s="182"/>
      <c r="K80" s="182"/>
      <c r="L80" s="182"/>
      <c r="P80" s="10" t="s">
        <v>11</v>
      </c>
      <c r="Q80" s="109">
        <f>EXP(Q78/100)</f>
        <v>11.927805044709357</v>
      </c>
      <c r="R80" s="12"/>
      <c r="U80" s="10"/>
      <c r="V80" s="182"/>
      <c r="W80" s="182"/>
      <c r="X80" s="182"/>
      <c r="Y80" s="182"/>
      <c r="AC80" s="10" t="s">
        <v>11</v>
      </c>
      <c r="AD80" s="110">
        <f>PERCENTILE(allraw,AD78/100)</f>
        <v>12.1</v>
      </c>
      <c r="AE80" s="12"/>
      <c r="AF80" s="12"/>
      <c r="AG80" s="12"/>
      <c r="AH80" s="10"/>
      <c r="AI80" s="182"/>
      <c r="AJ80" s="12"/>
      <c r="AK80" s="12"/>
      <c r="AL80" s="12"/>
      <c r="AP80" s="10" t="s">
        <v>11</v>
      </c>
      <c r="AQ80" s="110">
        <f>AQ78^2</f>
        <v>12.024881862344243</v>
      </c>
      <c r="AR80" s="12"/>
      <c r="AS80" s="12"/>
      <c r="AT80" s="12"/>
      <c r="AW80" s="12"/>
      <c r="AX80" s="12"/>
      <c r="AY80" s="12"/>
      <c r="BC80" s="10" t="s">
        <v>11</v>
      </c>
      <c r="BD80" s="109">
        <f>100*SIN(BD78)^2</f>
        <v>12.037787414862331</v>
      </c>
      <c r="BE80" s="12"/>
      <c r="BF80" s="12"/>
      <c r="BG80" s="12"/>
      <c r="BH80" s="12"/>
      <c r="BI80" s="12"/>
      <c r="BJ80" s="12"/>
      <c r="BK80" s="12"/>
      <c r="BL80" s="12"/>
    </row>
    <row r="81" spans="3:64" s="13" customFormat="1" ht="12.75">
      <c r="C81" s="10" t="s">
        <v>122</v>
      </c>
      <c r="D81" s="172">
        <f>COUNT(allraw)</f>
        <v>119</v>
      </c>
      <c r="E81" s="12"/>
      <c r="F81" s="12"/>
      <c r="G81" s="12"/>
      <c r="H81" s="10"/>
      <c r="I81" s="110"/>
      <c r="J81" s="110"/>
      <c r="K81" s="110"/>
      <c r="L81" s="110"/>
      <c r="P81" s="10" t="s">
        <v>12</v>
      </c>
      <c r="Q81" s="109">
        <f>100*EXP(Q79/100)-100</f>
        <v>20.153529469635558</v>
      </c>
      <c r="R81" s="12"/>
      <c r="U81" s="10"/>
      <c r="V81" s="180"/>
      <c r="W81" s="180"/>
      <c r="X81" s="180"/>
      <c r="Y81" s="180"/>
      <c r="AC81" s="10" t="s">
        <v>90</v>
      </c>
      <c r="AD81" s="110">
        <f>(PERCENTILE(allraw,(AD78+AD79)/100)-PERCENTILE(allraw,(AD78-AD79)/100))/2</f>
        <v>1.746507403384017</v>
      </c>
      <c r="AE81" s="12"/>
      <c r="AF81" s="12"/>
      <c r="AG81" s="12"/>
      <c r="AH81" s="10"/>
      <c r="AI81" s="180"/>
      <c r="AJ81" s="12"/>
      <c r="AK81" s="12"/>
      <c r="AL81" s="12"/>
      <c r="AP81" s="10" t="s">
        <v>90</v>
      </c>
      <c r="AQ81" s="110">
        <f>((AQ78+AQ79)^2-(AQ78-AQ79)^2)/2</f>
        <v>2.1662060590732626</v>
      </c>
      <c r="AR81" s="12"/>
      <c r="AS81" s="12"/>
      <c r="AT81" s="12"/>
      <c r="AU81" s="12"/>
      <c r="AV81" s="12"/>
      <c r="AW81" s="12"/>
      <c r="AX81" s="12"/>
      <c r="AY81" s="12"/>
      <c r="BC81" s="10" t="s">
        <v>90</v>
      </c>
      <c r="BD81" s="109">
        <f>100*(SIN(BD78+BD79)^2-SIN(BD78-BD79)^2)/2</f>
        <v>2.1638646506996677</v>
      </c>
      <c r="BE81" s="12"/>
      <c r="BF81" s="12"/>
      <c r="BG81" s="12"/>
      <c r="BH81" s="12"/>
      <c r="BI81" s="12"/>
      <c r="BJ81" s="12"/>
      <c r="BK81" s="12"/>
      <c r="BL81" s="12"/>
    </row>
    <row r="82" spans="3:64" s="13" customFormat="1" ht="12.75">
      <c r="C82" s="10"/>
      <c r="D82" s="121"/>
      <c r="E82" s="12"/>
      <c r="F82" s="12"/>
      <c r="G82" s="12"/>
      <c r="H82" s="10"/>
      <c r="I82" s="181"/>
      <c r="J82" s="12"/>
      <c r="K82" s="12"/>
      <c r="L82" s="12"/>
      <c r="P82" s="10" t="s">
        <v>13</v>
      </c>
      <c r="Q82" s="110">
        <f>EXP(Q79/100)</f>
        <v>1.2015352946963556</v>
      </c>
      <c r="R82" s="12"/>
      <c r="U82" s="10"/>
      <c r="V82" s="181"/>
      <c r="W82" s="181"/>
      <c r="X82" s="181"/>
      <c r="Y82" s="181"/>
      <c r="AC82" s="10"/>
      <c r="AD82" s="1"/>
      <c r="AE82" s="12"/>
      <c r="AF82" s="12"/>
      <c r="AG82" s="12"/>
      <c r="AH82" s="10"/>
      <c r="AI82" s="181"/>
      <c r="AJ82" s="12"/>
      <c r="AK82" s="12"/>
      <c r="AL82" s="12"/>
      <c r="AP82" s="10"/>
      <c r="AQ82" s="12"/>
      <c r="AR82" s="12"/>
      <c r="AS82" s="12"/>
      <c r="AT82" s="12"/>
      <c r="AU82" s="12"/>
      <c r="AV82" s="12"/>
      <c r="AW82" s="12"/>
      <c r="AX82" s="12"/>
      <c r="AY82" s="12"/>
      <c r="BC82" s="10"/>
      <c r="BD82" s="12"/>
      <c r="BE82" s="12"/>
      <c r="BF82" s="12"/>
      <c r="BG82" s="12"/>
      <c r="BH82" s="12"/>
      <c r="BI82" s="12"/>
      <c r="BJ82" s="12"/>
      <c r="BK82" s="12"/>
      <c r="BL82" s="12"/>
    </row>
    <row r="83" spans="3:64" s="13" customFormat="1" ht="12.75">
      <c r="C83" s="10"/>
      <c r="D83" s="121"/>
      <c r="E83" s="12"/>
      <c r="F83" s="12"/>
      <c r="G83" s="12"/>
      <c r="J83" s="12"/>
      <c r="K83" s="12"/>
      <c r="L83" s="12"/>
      <c r="P83" s="10"/>
      <c r="Q83" s="110"/>
      <c r="R83" s="12"/>
      <c r="U83" s="10"/>
      <c r="V83" s="110"/>
      <c r="W83" s="110"/>
      <c r="X83" s="110"/>
      <c r="Y83" s="110"/>
      <c r="AC83" s="10"/>
      <c r="AD83" s="1"/>
      <c r="AE83" s="12"/>
      <c r="AF83" s="12"/>
      <c r="AG83" s="12"/>
      <c r="AH83" s="10"/>
      <c r="AI83" s="110"/>
      <c r="AJ83" s="12"/>
      <c r="AK83" s="12"/>
      <c r="AL83" s="12"/>
      <c r="AP83" s="10"/>
      <c r="AQ83" s="12"/>
      <c r="AR83" s="12"/>
      <c r="AS83" s="12"/>
      <c r="AT83" s="12"/>
      <c r="AU83" s="12"/>
      <c r="AV83" s="12"/>
      <c r="AW83" s="12"/>
      <c r="AX83" s="12"/>
      <c r="AY83" s="12"/>
      <c r="BC83" s="10"/>
      <c r="BD83" s="12"/>
      <c r="BE83" s="12"/>
      <c r="BF83" s="12"/>
      <c r="BG83" s="12"/>
      <c r="BH83" s="12"/>
      <c r="BI83" s="12"/>
      <c r="BJ83" s="12"/>
      <c r="BK83" s="12"/>
      <c r="BL83" s="12"/>
    </row>
    <row r="84" spans="3:64" s="13" customFormat="1" ht="12.75">
      <c r="C84" s="152" t="s">
        <v>142</v>
      </c>
      <c r="D84" s="12"/>
      <c r="E84" s="12"/>
      <c r="F84" s="179"/>
      <c r="H84" s="179" t="s">
        <v>139</v>
      </c>
      <c r="I84" s="12"/>
      <c r="J84" s="12"/>
      <c r="K84" s="12"/>
      <c r="L84" s="12"/>
      <c r="P84" s="152" t="s">
        <v>138</v>
      </c>
      <c r="Q84" s="12"/>
      <c r="R84" s="12"/>
      <c r="S84" s="179"/>
      <c r="U84" s="179" t="s">
        <v>139</v>
      </c>
      <c r="W84" s="12"/>
      <c r="X84" s="12"/>
      <c r="Y84" s="12"/>
      <c r="AC84" s="152" t="s">
        <v>138</v>
      </c>
      <c r="AD84" s="12"/>
      <c r="AE84" s="12"/>
      <c r="AF84" s="179"/>
      <c r="AH84" s="179" t="s">
        <v>139</v>
      </c>
      <c r="AI84" s="12"/>
      <c r="AJ84" s="12"/>
      <c r="AK84" s="12"/>
      <c r="AL84" s="12"/>
      <c r="AP84" s="152" t="s">
        <v>138</v>
      </c>
      <c r="AQ84" s="12"/>
      <c r="AR84" s="12"/>
      <c r="AS84" s="179"/>
      <c r="AU84" s="179" t="s">
        <v>139</v>
      </c>
      <c r="AW84" s="12"/>
      <c r="AX84" s="12"/>
      <c r="AY84" s="12"/>
      <c r="BC84" s="152" t="s">
        <v>138</v>
      </c>
      <c r="BD84" s="12"/>
      <c r="BE84" s="12"/>
      <c r="BF84" s="179"/>
      <c r="BH84" s="179" t="s">
        <v>139</v>
      </c>
      <c r="BI84" s="12"/>
      <c r="BJ84" s="12"/>
      <c r="BK84" s="12"/>
      <c r="BL84" s="12"/>
    </row>
    <row r="85" spans="3:64" s="13" customFormat="1" ht="12.75">
      <c r="C85" s="10" t="s">
        <v>91</v>
      </c>
      <c r="D85" s="114">
        <f>D71-D44</f>
        <v>0.240000000000002</v>
      </c>
      <c r="E85" s="12"/>
      <c r="F85" s="12"/>
      <c r="G85" s="12"/>
      <c r="H85" s="10" t="s">
        <v>91</v>
      </c>
      <c r="I85" s="112">
        <f>I71-I44</f>
        <v>-1.2199999999999998</v>
      </c>
      <c r="J85" s="112">
        <f>J71-J44</f>
        <v>-0.7394736842105266</v>
      </c>
      <c r="K85" s="112">
        <f>K71-K44</f>
        <v>0.5344736842105255</v>
      </c>
      <c r="L85" s="112" t="e">
        <f>L71-L44</f>
        <v>#DIV/0!</v>
      </c>
      <c r="P85" s="10" t="s">
        <v>94</v>
      </c>
      <c r="Q85" s="128">
        <f>Q71-Q44</f>
        <v>1.324415232258076</v>
      </c>
      <c r="R85" s="11"/>
      <c r="S85" s="10"/>
      <c r="T85" s="11"/>
      <c r="U85" s="10" t="s">
        <v>169</v>
      </c>
      <c r="V85" s="11">
        <f>V71-V44</f>
        <v>-10.927105380423786</v>
      </c>
      <c r="W85" s="11">
        <f>W71-W44</f>
        <v>-6.654547670575762</v>
      </c>
      <c r="X85" s="11">
        <f>X71-X44</f>
        <v>4.713958619156024</v>
      </c>
      <c r="Y85" s="11" t="e">
        <f>Y71-Y44</f>
        <v>#DIV/0!</v>
      </c>
      <c r="AC85" s="10" t="s">
        <v>127</v>
      </c>
      <c r="AD85" s="128">
        <f>AD71-AD44</f>
        <v>5.840336134453793</v>
      </c>
      <c r="AE85" s="12"/>
      <c r="AF85" s="12"/>
      <c r="AG85" s="12"/>
      <c r="AH85" s="10" t="s">
        <v>169</v>
      </c>
      <c r="AI85" s="5">
        <f>AI71-AI44</f>
        <v>-14.411764705882353</v>
      </c>
      <c r="AJ85" s="5">
        <f>AJ71-AJ44</f>
        <v>-11.457319770013271</v>
      </c>
      <c r="AK85" s="5">
        <f>AK71-AK44</f>
        <v>3.931888544891641</v>
      </c>
      <c r="AL85" s="5" t="e">
        <f>AL71-AL44</f>
        <v>#DIV/0!</v>
      </c>
      <c r="AP85" s="10" t="s">
        <v>109</v>
      </c>
      <c r="AQ85" s="155">
        <f>AQ71-AQ44</f>
        <v>0.0291284369965763</v>
      </c>
      <c r="AR85" s="12"/>
      <c r="AS85" s="12"/>
      <c r="AT85" s="12"/>
      <c r="AU85" s="10" t="s">
        <v>171</v>
      </c>
      <c r="AV85" s="156">
        <f>AV71-AV44</f>
        <v>-0.18133544259971698</v>
      </c>
      <c r="AW85" s="156">
        <f>AW71-AW44</f>
        <v>-0.1106315681409572</v>
      </c>
      <c r="AX85" s="156">
        <f>AX71-AX44</f>
        <v>0.07841596529351413</v>
      </c>
      <c r="AY85" s="156" t="e">
        <f>AY71-AY44</f>
        <v>#DIV/0!</v>
      </c>
      <c r="BC85" s="10" t="s">
        <v>109</v>
      </c>
      <c r="BD85" s="176">
        <f>BD71-BD44</f>
        <v>0.0031798000803552884</v>
      </c>
      <c r="BE85" s="12"/>
      <c r="BF85" s="12"/>
      <c r="BG85" s="12"/>
      <c r="BH85" s="10" t="s">
        <v>169</v>
      </c>
      <c r="BI85" s="157">
        <f>BI71-BI44</f>
        <v>-0.01927687015415655</v>
      </c>
      <c r="BJ85" s="157">
        <f>BJ71-BJ44</f>
        <v>-0.011742891145905108</v>
      </c>
      <c r="BK85" s="157">
        <f>BK71-BK44</f>
        <v>0.008357255020773963</v>
      </c>
      <c r="BL85" s="157" t="e">
        <f>BL71-BL44</f>
        <v>#DIV/0!</v>
      </c>
    </row>
    <row r="86" spans="3:64" ht="12.75">
      <c r="C86" s="10" t="s">
        <v>92</v>
      </c>
      <c r="D86" s="114">
        <f>D85/D133</f>
        <v>0.11182455714303696</v>
      </c>
      <c r="H86" s="10" t="s">
        <v>92</v>
      </c>
      <c r="I86" s="114">
        <f>I85/I133</f>
        <v>-0.568441498810433</v>
      </c>
      <c r="J86" s="114">
        <f>J85/J133</f>
        <v>-0.34454715523238094</v>
      </c>
      <c r="K86" s="114">
        <f>K85/K133</f>
        <v>0.24903034600603713</v>
      </c>
      <c r="L86" s="114" t="e">
        <f>L85/L133</f>
        <v>#DIV/0!</v>
      </c>
      <c r="P86" s="10" t="s">
        <v>93</v>
      </c>
      <c r="Q86" s="112">
        <f>100*EXP(Q85/100)-100</f>
        <v>1.3332244580779076</v>
      </c>
      <c r="S86" s="10"/>
      <c r="T86" s="112"/>
      <c r="U86" s="10" t="s">
        <v>93</v>
      </c>
      <c r="V86" s="112">
        <f>100*EXP(V85/100)-100</f>
        <v>-10.351261175431361</v>
      </c>
      <c r="W86" s="112">
        <f>100*EXP(W85/100)-100</f>
        <v>-6.437963404325998</v>
      </c>
      <c r="X86" s="112">
        <f>100*EXP(X85/100)-100</f>
        <v>4.826832265063302</v>
      </c>
      <c r="Y86" s="112" t="e">
        <f>100*EXP(Y85/100)-100</f>
        <v>#DIV/0!</v>
      </c>
      <c r="AC86" s="3"/>
      <c r="AF86" s="3"/>
      <c r="AG86" s="3"/>
      <c r="AI86" s="3"/>
      <c r="AJ86" s="3"/>
      <c r="AK86" s="3"/>
      <c r="AL86" s="3"/>
      <c r="AP86" s="3"/>
      <c r="AS86" s="3"/>
      <c r="AT86" s="3"/>
      <c r="AV86" s="3"/>
      <c r="AW86" s="3"/>
      <c r="AX86" s="3"/>
      <c r="AY86" s="3"/>
      <c r="BC86" s="3"/>
      <c r="BF86" s="3"/>
      <c r="BG86" s="3"/>
      <c r="BI86" s="3"/>
      <c r="BJ86" s="3"/>
      <c r="BK86" s="3"/>
      <c r="BL86" s="3"/>
    </row>
    <row r="87" spans="16:64" ht="12.75">
      <c r="P87" s="10" t="s">
        <v>96</v>
      </c>
      <c r="Q87" s="113">
        <f>EXP(Q85/100)</f>
        <v>1.013332244580779</v>
      </c>
      <c r="S87" s="10"/>
      <c r="T87" s="113"/>
      <c r="U87" s="10" t="s">
        <v>170</v>
      </c>
      <c r="V87" s="113">
        <f>EXP(V85/100)</f>
        <v>0.8964873882456864</v>
      </c>
      <c r="W87" s="113">
        <f>EXP(W85/100)</f>
        <v>0.93562036595674</v>
      </c>
      <c r="X87" s="113">
        <f>EXP(X85/100)</f>
        <v>1.048268322650633</v>
      </c>
      <c r="Y87" s="113" t="e">
        <f>EXP(Y85/100)</f>
        <v>#DIV/0!</v>
      </c>
      <c r="AC87" s="3"/>
      <c r="AF87" s="2"/>
      <c r="AG87" s="2"/>
      <c r="AI87" s="3"/>
      <c r="AJ87" s="3"/>
      <c r="AK87" s="3"/>
      <c r="AL87" s="3"/>
      <c r="AP87" s="3"/>
      <c r="AS87" s="2"/>
      <c r="AT87" s="2"/>
      <c r="AV87" s="3"/>
      <c r="AW87" s="3"/>
      <c r="AX87" s="3"/>
      <c r="AY87" s="3"/>
      <c r="BC87" s="3"/>
      <c r="BF87" s="2"/>
      <c r="BG87" s="2"/>
      <c r="BI87" s="3"/>
      <c r="BJ87" s="3"/>
      <c r="BK87" s="3"/>
      <c r="BL87" s="3"/>
    </row>
    <row r="88" spans="3:64" ht="12.75">
      <c r="C88" s="10" t="s">
        <v>5</v>
      </c>
      <c r="D88" s="115">
        <f>TTEST(D24:D43,D51:D70,2,3)</f>
        <v>0.7286102678518096</v>
      </c>
      <c r="H88" s="10" t="s">
        <v>5</v>
      </c>
      <c r="I88" s="115">
        <f>TTEST(I24:I43,I51:I70,2,3)</f>
        <v>0.00023843356930954466</v>
      </c>
      <c r="J88" s="115">
        <f>TTEST(J24:J43,J51:J70,2,3)</f>
        <v>0.07057185430936766</v>
      </c>
      <c r="K88" s="115">
        <f>TTEST(K24:K43,K51:K70,2,3)</f>
        <v>0.1863969224639288</v>
      </c>
      <c r="L88" s="115" t="e">
        <f>TTEST(L24:L43,L51:L70,2,3)</f>
        <v>#DIV/0!</v>
      </c>
      <c r="P88" s="10" t="s">
        <v>137</v>
      </c>
      <c r="Q88" s="114">
        <f>Q85/Q155</f>
        <v>0.07213584645486584</v>
      </c>
      <c r="S88" s="10"/>
      <c r="T88" s="114"/>
      <c r="U88" s="10" t="s">
        <v>92</v>
      </c>
      <c r="V88" s="114">
        <f>V85/V155</f>
        <v>-0.5951577546978806</v>
      </c>
      <c r="W88" s="114">
        <f>W85/W155</f>
        <v>-0.3624478315405687</v>
      </c>
      <c r="X88" s="114">
        <f>X85/X155</f>
        <v>0.2567513472087347</v>
      </c>
      <c r="Y88" s="114" t="e">
        <f>Y85/Y155</f>
        <v>#DIV/0!</v>
      </c>
      <c r="AC88" s="10" t="s">
        <v>92</v>
      </c>
      <c r="AD88" s="114">
        <f>AD85/AD155</f>
        <v>0.19994940336283243</v>
      </c>
      <c r="AH88" s="10" t="s">
        <v>92</v>
      </c>
      <c r="AI88" s="114">
        <f>AI85/AI155</f>
        <v>-0.49340032628382297</v>
      </c>
      <c r="AJ88" s="114">
        <f>AJ85/AJ155</f>
        <v>-0.3922521237496528</v>
      </c>
      <c r="AK88" s="114">
        <f>AK85/AK155</f>
        <v>0.13461190427077446</v>
      </c>
      <c r="AL88" s="114" t="e">
        <f>AL85/AL155</f>
        <v>#DIV/0!</v>
      </c>
      <c r="AP88" s="10" t="s">
        <v>92</v>
      </c>
      <c r="AQ88" s="114">
        <f>AQ85/AQ155</f>
        <v>0.09325836990956375</v>
      </c>
      <c r="AU88" s="10" t="s">
        <v>92</v>
      </c>
      <c r="AV88" s="114">
        <f>AV85/AV155</f>
        <v>-0.5805683217972376</v>
      </c>
      <c r="AW88" s="114">
        <f>AW85/AW155</f>
        <v>-0.3542009379554822</v>
      </c>
      <c r="AX88" s="114">
        <f>AX85/AX155</f>
        <v>0.25105861667131685</v>
      </c>
      <c r="AY88" s="114" t="e">
        <f>AY85/AY155</f>
        <v>#DIV/0!</v>
      </c>
      <c r="BC88" s="10" t="s">
        <v>92</v>
      </c>
      <c r="BD88" s="114">
        <f>BD85/BD155</f>
        <v>0.09556536709092533</v>
      </c>
      <c r="BH88" s="10" t="s">
        <v>92</v>
      </c>
      <c r="BI88" s="114">
        <f>BI85/BI155</f>
        <v>-0.5793449670081896</v>
      </c>
      <c r="BJ88" s="114">
        <f>BJ85/BJ155</f>
        <v>-0.35291957818361025</v>
      </c>
      <c r="BK88" s="114">
        <f>BK85/BK155</f>
        <v>0.25116803690485645</v>
      </c>
      <c r="BL88" s="114" t="e">
        <f>BL85/BL155</f>
        <v>#DIV/0!</v>
      </c>
    </row>
    <row r="89" spans="3:64" ht="12.75">
      <c r="C89" s="10" t="s">
        <v>30</v>
      </c>
      <c r="D89" s="58">
        <f>(D45^2/COUNT(D24:D43)+D72^2/COUNT(D51:D70))^2/((D45^2/COUNT(D24:D43))^2/(COUNT(D24:D43)-1)+(D72^2/COUNT(D51:D70))^2/(COUNT(D51:D70)-1))</f>
        <v>36.9471563563366</v>
      </c>
      <c r="H89" s="10" t="s">
        <v>30</v>
      </c>
      <c r="I89" s="58">
        <f>(I45^2/COUNT(I24:I43)+I72^2/COUNT(I51:I70))^2/((I45^2/COUNT(I24:I43))^2/(COUNT(I24:I43)-1)+(I72^2/COUNT(I51:I70))^2/(COUNT(I51:I70)-1))</f>
        <v>30.31902204794401</v>
      </c>
      <c r="J89" s="58">
        <f>(J45^2/COUNT(J24:J43)+J72^2/COUNT(J51:J70))^2/((J45^2/COUNT(J24:J43))^2/(COUNT(J24:J43)-1)+(J72^2/COUNT(J51:J70))^2/(COUNT(J51:J70)-1))</f>
        <v>34.9459287441274</v>
      </c>
      <c r="K89" s="58">
        <f>(K45^2/COUNT(K24:K43)+K72^2/COUNT(K51:K70))^2/((K45^2/COUNT(K24:K43))^2/(COUNT(K24:K43)-1)+(K72^2/COUNT(K51:K70))^2/(COUNT(K51:K70)-1))</f>
        <v>34.9991824217578</v>
      </c>
      <c r="L89" s="58" t="e">
        <f>(L45^2/COUNT(L24:L43)+L72^2/COUNT(L51:L70))^2/((L45^2/COUNT(L24:L43))^2/(COUNT(L24:L43)-1)+(L72^2/COUNT(L51:L70))^2/(COUNT(L51:L70)-1))</f>
        <v>#DIV/0!</v>
      </c>
      <c r="P89" s="10"/>
      <c r="Q89" s="114"/>
      <c r="S89" s="10"/>
      <c r="T89" s="114"/>
      <c r="U89" s="10"/>
      <c r="V89" s="114"/>
      <c r="W89" s="114"/>
      <c r="X89" s="114"/>
      <c r="Y89" s="114"/>
      <c r="AC89" s="10"/>
      <c r="AD89" s="114"/>
      <c r="AH89" s="10"/>
      <c r="AI89" s="114"/>
      <c r="AJ89" s="114"/>
      <c r="AK89" s="114"/>
      <c r="AL89" s="114"/>
      <c r="AP89" s="10"/>
      <c r="AQ89" s="114"/>
      <c r="AU89" s="10"/>
      <c r="AV89" s="114"/>
      <c r="AW89" s="114"/>
      <c r="AX89" s="114"/>
      <c r="AY89" s="114"/>
      <c r="BC89" s="10"/>
      <c r="BD89" s="114"/>
      <c r="BH89" s="10"/>
      <c r="BI89" s="114"/>
      <c r="BJ89" s="114"/>
      <c r="BK89" s="114"/>
      <c r="BL89" s="114"/>
    </row>
    <row r="90" spans="16:64" ht="12.75">
      <c r="P90" s="10" t="s">
        <v>5</v>
      </c>
      <c r="Q90" s="115">
        <f>TTEST(Q24:Q43,Q51:Q70,2,3)</f>
        <v>0.8230030602483565</v>
      </c>
      <c r="S90" s="10"/>
      <c r="T90" s="115"/>
      <c r="U90" s="10" t="s">
        <v>5</v>
      </c>
      <c r="V90" s="115">
        <f>TTEST(V24:V43,V51:V70,2,3)</f>
        <v>0.00018676715563604773</v>
      </c>
      <c r="W90" s="115">
        <f>TTEST(W24:W43,W51:W70,2,3)</f>
        <v>0.05785837564613804</v>
      </c>
      <c r="X90" s="115">
        <f>TTEST(X24:X43,X51:X70,2,3)</f>
        <v>0.16167097462604385</v>
      </c>
      <c r="Y90" s="115" t="e">
        <f>TTEST(Y24:Y43,Y51:Y70,2,3)</f>
        <v>#DIV/0!</v>
      </c>
      <c r="AC90" s="10" t="s">
        <v>5</v>
      </c>
      <c r="AD90" s="115">
        <f>TTEST(AD24:AD43,AD51:AD70,2,3)</f>
        <v>0.5342582785184237</v>
      </c>
      <c r="AH90" s="10" t="s">
        <v>5</v>
      </c>
      <c r="AI90" s="115">
        <f>TTEST(AI24:AI43,AI51:AI70,2,3)</f>
        <v>0.0017852229397824137</v>
      </c>
      <c r="AJ90" s="115">
        <f>TTEST(AJ24:AJ43,AJ51:AJ70,2,3)</f>
        <v>0.05533210340964405</v>
      </c>
      <c r="AK90" s="115">
        <f>TTEST(AK24:AK43,AK51:AK70,2,3)</f>
        <v>0.4581189813578652</v>
      </c>
      <c r="AL90" s="115" t="e">
        <f>TTEST(AL24:AL43,AL51:AL70,2,3)</f>
        <v>#DIV/0!</v>
      </c>
      <c r="AP90" s="10" t="s">
        <v>5</v>
      </c>
      <c r="AQ90" s="115">
        <f>TTEST(AQ24:AQ43,AQ51:AQ70,2,3)</f>
        <v>0.772371756694703</v>
      </c>
      <c r="AU90" s="10" t="s">
        <v>5</v>
      </c>
      <c r="AV90" s="115">
        <f>TTEST(AV24:AV43,AV51:AV70,2,3)</f>
        <v>0.00019345866928094564</v>
      </c>
      <c r="AW90" s="115">
        <f>TTEST(AW24:AW43,AW51:AW70,2,3)</f>
        <v>0.06282163854920186</v>
      </c>
      <c r="AX90" s="115">
        <f>TTEST(AX24:AX43,AX51:AX70,2,3)</f>
        <v>0.17419876716842198</v>
      </c>
      <c r="AY90" s="115" t="e">
        <f>TTEST(AY24:AY43,AY51:AY70,2,3)</f>
        <v>#DIV/0!</v>
      </c>
      <c r="BC90" s="10" t="s">
        <v>5</v>
      </c>
      <c r="BD90" s="115">
        <f>TTEST(BD24:BD43,BD51:BD70,2,3)</f>
        <v>0.7668930764412133</v>
      </c>
      <c r="BH90" s="10" t="s">
        <v>5</v>
      </c>
      <c r="BI90" s="115">
        <f>TTEST(BI24:BI43,BI51:BI70,2,3)</f>
        <v>0.0001956434381669854</v>
      </c>
      <c r="BJ90" s="115">
        <f>TTEST(BJ24:BJ43,BJ51:BJ70,2,3)</f>
        <v>0.0637642198236975</v>
      </c>
      <c r="BK90" s="115">
        <f>TTEST(BK24:BK43,BK51:BK70,2,3)</f>
        <v>0.17515008021004075</v>
      </c>
      <c r="BL90" s="115" t="e">
        <f>TTEST(BL24:BL43,BL51:BL70,2,3)</f>
        <v>#DIV/0!</v>
      </c>
    </row>
    <row r="91" spans="16:64" ht="12.75">
      <c r="P91" s="10" t="s">
        <v>30</v>
      </c>
      <c r="Q91" s="58">
        <f>(Q45^2/COUNT(Q24:Q43)+Q72^2/COUNT(Q51:Q70))^2/((Q45^2/COUNT(Q24:Q43))^2/(COUNT(Q24:Q43)-1)+(Q72^2/COUNT(Q51:Q70))^2/(COUNT(Q51:Q70)-1))</f>
        <v>36.033286367305585</v>
      </c>
      <c r="S91" s="10"/>
      <c r="T91" s="58"/>
      <c r="U91" s="10" t="s">
        <v>30</v>
      </c>
      <c r="V91" s="58">
        <f>(V45^2/COUNT(V24:V43)+V72^2/COUNT(V51:V70))^2/((V45^2/COUNT(V24:V43))^2/(COUNT(V24:V43)-1)+(V72^2/COUNT(V51:V70))^2/(COUNT(V51:V70)-1))</f>
        <v>29.662574188839212</v>
      </c>
      <c r="W91" s="58">
        <f>(W45^2/COUNT(W24:W43)+W72^2/COUNT(W51:W70))^2/((W45^2/COUNT(W24:W43))^2/(COUNT(W24:W43)-1)+(W72^2/COUNT(W51:W70))^2/(COUNT(W51:W70)-1))</f>
        <v>32.74640813141246</v>
      </c>
      <c r="X91" s="58">
        <f>(X45^2/COUNT(X24:X43)+X72^2/COUNT(X51:X70))^2/((X45^2/COUNT(X24:X43))^2/(COUNT(X24:X43)-1)+(X72^2/COUNT(X51:X70))^2/(COUNT(X51:X70)-1))</f>
        <v>34.76139444273444</v>
      </c>
      <c r="Y91" s="58" t="e">
        <f>(Y45^2/COUNT(Y24:Y43)+Y72^2/COUNT(Y51:Y70))^2/((Y45^2/COUNT(Y24:Y43))^2/(COUNT(Y24:Y43)-1)+(Y72^2/COUNT(Y51:Y70))^2/(COUNT(Y51:Y70)-1))</f>
        <v>#DIV/0!</v>
      </c>
      <c r="AC91" s="10" t="s">
        <v>30</v>
      </c>
      <c r="AD91" s="58">
        <f>(AD45^2/COUNT(AD24:AD43)+AD72^2/COUNT(AD51:AD70))^2/((AD45^2/COUNT(AD24:AD43))^2/(COUNT(AD24:AD43)-1)+(AD72^2/COUNT(AD51:AD70))^2/(COUNT(AD51:AD70)-1))</f>
        <v>37.16876697204957</v>
      </c>
      <c r="AH91" s="10" t="s">
        <v>30</v>
      </c>
      <c r="AI91" s="58">
        <f>(AI45^2/COUNT(AI24:AI43)+AI72^2/COUNT(AI51:AI70))^2/((AI45^2/COUNT(AI24:AI43))^2/(COUNT(AI24:AI43)-1)+(AI72^2/COUNT(AI51:AI70))^2/(COUNT(AI51:AI70)-1))</f>
        <v>31.144399579340767</v>
      </c>
      <c r="AJ91" s="58">
        <f>(AJ45^2/COUNT(AJ24:AJ43)+AJ72^2/COUNT(AJ51:AJ70))^2/((AJ45^2/COUNT(AJ24:AJ43))^2/(COUNT(AJ24:AJ43)-1)+(AJ72^2/COUNT(AJ51:AJ70))^2/(COUNT(AJ51:AJ70)-1))</f>
        <v>32.37733572808956</v>
      </c>
      <c r="AK91" s="58">
        <f>(AK45^2/COUNT(AK24:AK43)+AK72^2/COUNT(AK51:AK70))^2/((AK45^2/COUNT(AK24:AK43))^2/(COUNT(AK24:AK43)-1)+(AK72^2/COUNT(AK51:AK70))^2/(COUNT(AK51:AK70)-1))</f>
        <v>36.678434503376046</v>
      </c>
      <c r="AL91" s="58" t="e">
        <f>(AL45^2/COUNT(AL24:AL43)+AL72^2/COUNT(AL51:AL70))^2/((AL45^2/COUNT(AL24:AL43))^2/(COUNT(AL24:AL43)-1)+(AL72^2/COUNT(AL51:AL70))^2/(COUNT(AL51:AL70)-1))</f>
        <v>#DIV/0!</v>
      </c>
      <c r="AP91" s="10" t="s">
        <v>30</v>
      </c>
      <c r="AQ91" s="58">
        <f>(AQ45^2/COUNT(AQ24:AQ43)+AQ72^2/COUNT(AQ51:AQ70))^2/((AQ45^2/COUNT(AQ24:AQ43))^2/(COUNT(AQ24:AQ43)-1)+(AQ72^2/COUNT(AQ51:AQ70))^2/(COUNT(AQ51:AQ70)-1))</f>
        <v>36.536925228691416</v>
      </c>
      <c r="AU91" s="10" t="s">
        <v>30</v>
      </c>
      <c r="AV91" s="58">
        <f>(AV45^2/COUNT(AV24:AV43)+AV72^2/COUNT(AV51:AV70))^2/((AV45^2/COUNT(AV24:AV43))^2/(COUNT(AV24:AV43)-1)+(AV72^2/COUNT(AV51:AV70))^2/(COUNT(AV51:AV70)-1))</f>
        <v>30.181121053002027</v>
      </c>
      <c r="AW91" s="58">
        <f>(AW45^2/COUNT(AW24:AW43)+AW72^2/COUNT(AW51:AW70))^2/((AW45^2/COUNT(AW24:AW43))^2/(COUNT(AW24:AW43)-1)+(AW72^2/COUNT(AW51:AW70))^2/(COUNT(AW51:AW70)-1))</f>
        <v>33.8900064349194</v>
      </c>
      <c r="AX91" s="58">
        <f>(AX45^2/COUNT(AX24:AX43)+AX72^2/COUNT(AX51:AX70))^2/((AX45^2/COUNT(AX24:AX43))^2/(COUNT(AX24:AX43)-1)+(AX72^2/COUNT(AX51:AX70))^2/(COUNT(AX51:AX70)-1))</f>
        <v>35.013347260782</v>
      </c>
      <c r="AY91" s="58" t="e">
        <f>(AY45^2/COUNT(AY24:AY43)+AY72^2/COUNT(AY51:AY70))^2/((AY45^2/COUNT(AY24:AY43))^2/(COUNT(AY24:AY43)-1)+(AY72^2/COUNT(AY51:AY70))^2/(COUNT(AY51:AY70)-1))</f>
        <v>#DIV/0!</v>
      </c>
      <c r="BC91" s="10" t="s">
        <v>30</v>
      </c>
      <c r="BD91" s="58">
        <f>(BD45^2/COUNT(BD24:BD43)+BD72^2/COUNT(BD51:BD70))^2/((BD45^2/COUNT(BD24:BD43))^2/(COUNT(BD24:BD43)-1)+(BD72^2/COUNT(BD51:BD70))^2/(COUNT(BD51:BD70)-1))</f>
        <v>36.593771413389014</v>
      </c>
      <c r="BH91" s="10" t="s">
        <v>30</v>
      </c>
      <c r="BI91" s="58">
        <f>(BI45^2/COUNT(BI24:BI43)+BI72^2/COUNT(BI51:BI70))^2/((BI45^2/COUNT(BI24:BI43))^2/(COUNT(BI24:BI43)-1)+(BI72^2/COUNT(BI51:BI70))^2/(COUNT(BI51:BI70)-1))</f>
        <v>30.210064511508435</v>
      </c>
      <c r="BJ91" s="58">
        <f>(BJ45^2/COUNT(BJ24:BJ43)+BJ72^2/COUNT(BJ51:BJ70))^2/((BJ45^2/COUNT(BJ24:BJ43))^2/(COUNT(BJ24:BJ43)-1)+(BJ72^2/COUNT(BJ51:BJ70))^2/(COUNT(BJ51:BJ70)-1))</f>
        <v>34.04451070959678</v>
      </c>
      <c r="BK91" s="58">
        <f>(BK45^2/COUNT(BK24:BK43)+BK72^2/COUNT(BK51:BK70))^2/((BK45^2/COUNT(BK24:BK43))^2/(COUNT(BK24:BK43)-1)+(BK72^2/COUNT(BK51:BK70))^2/(COUNT(BK51:BK70)-1))</f>
        <v>35.00972028257318</v>
      </c>
      <c r="BL91" s="58" t="e">
        <f>(BL45^2/COUNT(BL24:BL43)+BL72^2/COUNT(BL51:BL70))^2/((BL45^2/COUNT(BL24:BL43))^2/(COUNT(BL24:BL43)-1)+(BL72^2/COUNT(BL51:BL70))^2/(COUNT(BL51:BL70)-1))</f>
        <v>#DIV/0!</v>
      </c>
    </row>
    <row r="92" spans="3:64" ht="12.75">
      <c r="C92" s="10"/>
      <c r="D92" s="58"/>
      <c r="H92" s="10"/>
      <c r="I92" s="58"/>
      <c r="J92" s="58"/>
      <c r="K92" s="58"/>
      <c r="L92" s="58"/>
      <c r="P92" s="10"/>
      <c r="Q92" s="58"/>
      <c r="U92" s="10"/>
      <c r="V92" s="58"/>
      <c r="W92" s="58"/>
      <c r="X92" s="58"/>
      <c r="Y92" s="58"/>
      <c r="AC92" s="10"/>
      <c r="AD92" s="58"/>
      <c r="AH92" s="10"/>
      <c r="AI92" s="58"/>
      <c r="AJ92" s="58"/>
      <c r="AK92" s="58"/>
      <c r="AL92" s="58"/>
      <c r="AP92" s="10"/>
      <c r="AQ92" s="58"/>
      <c r="AU92" s="10"/>
      <c r="AV92" s="58"/>
      <c r="AW92" s="58"/>
      <c r="AX92" s="58"/>
      <c r="AY92" s="58"/>
      <c r="BC92" s="10"/>
      <c r="BD92" s="58"/>
      <c r="BH92" s="10"/>
      <c r="BI92" s="58"/>
      <c r="BJ92" s="58"/>
      <c r="BK92" s="58"/>
      <c r="BL92" s="58"/>
    </row>
    <row r="93" spans="2:54" ht="12.75">
      <c r="B93" s="81" t="s">
        <v>6</v>
      </c>
      <c r="O93" s="81" t="s">
        <v>10</v>
      </c>
      <c r="AB93" s="81" t="s">
        <v>124</v>
      </c>
      <c r="AO93" s="81" t="s">
        <v>110</v>
      </c>
      <c r="BB93" s="81" t="s">
        <v>128</v>
      </c>
    </row>
    <row r="94" spans="21:25" ht="12.75">
      <c r="U94" s="10"/>
      <c r="V94" s="1"/>
      <c r="W94" s="1"/>
      <c r="X94" s="1"/>
      <c r="Y94" s="1"/>
    </row>
    <row r="95" spans="2:60" ht="29.25" customHeight="1">
      <c r="B95" s="253" t="s">
        <v>99</v>
      </c>
      <c r="C95" s="254"/>
      <c r="D95" s="122" t="str">
        <f>D23</f>
        <v>Pre</v>
      </c>
      <c r="G95" s="197" t="s">
        <v>29</v>
      </c>
      <c r="H95" s="198"/>
      <c r="I95" s="122" t="str">
        <f>I23</f>
        <v>Post1-Pre</v>
      </c>
      <c r="J95" s="122" t="str">
        <f>J23</f>
        <v>Post2-Pre</v>
      </c>
      <c r="K95" s="122" t="str">
        <f>K23</f>
        <v>Post2-Post1</v>
      </c>
      <c r="L95" s="122" t="str">
        <f>L23</f>
        <v>other effect</v>
      </c>
      <c r="O95" s="253" t="s">
        <v>175</v>
      </c>
      <c r="P95" s="254"/>
      <c r="Q95" s="122" t="str">
        <f>Q23</f>
        <v>Pre</v>
      </c>
      <c r="T95" s="197" t="s">
        <v>34</v>
      </c>
      <c r="U95" s="198"/>
      <c r="V95" s="122" t="str">
        <f>V23</f>
        <v>Post1-Pre</v>
      </c>
      <c r="W95" s="122" t="str">
        <f>W23</f>
        <v>Post2-Pre</v>
      </c>
      <c r="X95" s="122" t="str">
        <f>X23</f>
        <v>Post2-Post1</v>
      </c>
      <c r="Y95" s="122" t="str">
        <f>Y23</f>
        <v>other effect</v>
      </c>
      <c r="AB95" s="253" t="s">
        <v>119</v>
      </c>
      <c r="AC95" s="254"/>
      <c r="AG95" s="269" t="s">
        <v>120</v>
      </c>
      <c r="AH95" s="270"/>
      <c r="AO95" s="253" t="s">
        <v>115</v>
      </c>
      <c r="AP95" s="254"/>
      <c r="AT95" s="269" t="s">
        <v>114</v>
      </c>
      <c r="AU95" s="270"/>
      <c r="BB95" s="253" t="s">
        <v>115</v>
      </c>
      <c r="BC95" s="254"/>
      <c r="BG95" s="269" t="s">
        <v>114</v>
      </c>
      <c r="BH95" s="270"/>
    </row>
    <row r="96" spans="2:25" ht="12.75">
      <c r="B96" s="25"/>
      <c r="C96" s="28" t="s">
        <v>5</v>
      </c>
      <c r="D96" s="48">
        <f>D88</f>
        <v>0.7286102678518096</v>
      </c>
      <c r="G96" s="25"/>
      <c r="H96" s="28" t="s">
        <v>5</v>
      </c>
      <c r="I96" s="48">
        <f>I88</f>
        <v>0.00023843356930954466</v>
      </c>
      <c r="J96" s="48">
        <f>J88</f>
        <v>0.07057185430936766</v>
      </c>
      <c r="K96" s="48">
        <f>K88</f>
        <v>0.1863969224639288</v>
      </c>
      <c r="L96" s="48" t="e">
        <f>L88</f>
        <v>#DIV/0!</v>
      </c>
      <c r="O96" s="25"/>
      <c r="P96" s="28" t="s">
        <v>5</v>
      </c>
      <c r="Q96" s="48">
        <f>Q90</f>
        <v>0.8230030602483565</v>
      </c>
      <c r="T96" s="25"/>
      <c r="U96" s="28" t="s">
        <v>5</v>
      </c>
      <c r="V96" s="48">
        <f>V90</f>
        <v>0.00018676715563604773</v>
      </c>
      <c r="W96" s="48">
        <f>W90</f>
        <v>0.05785837564613804</v>
      </c>
      <c r="X96" s="48">
        <f>X90</f>
        <v>0.16167097462604385</v>
      </c>
      <c r="Y96" s="48" t="e">
        <f>Y90</f>
        <v>#DIV/0!</v>
      </c>
    </row>
    <row r="97" spans="2:25" ht="12.75">
      <c r="B97" s="25"/>
      <c r="C97" s="29" t="s">
        <v>18</v>
      </c>
      <c r="D97" s="21">
        <f>$E$20</f>
        <v>90</v>
      </c>
      <c r="G97" s="25"/>
      <c r="H97" s="29" t="s">
        <v>18</v>
      </c>
      <c r="I97" s="21">
        <f>$E$20</f>
        <v>90</v>
      </c>
      <c r="J97" s="21">
        <f>I97</f>
        <v>90</v>
      </c>
      <c r="K97" s="21">
        <f>J97</f>
        <v>90</v>
      </c>
      <c r="L97" s="21">
        <f>K97</f>
        <v>90</v>
      </c>
      <c r="O97" s="25"/>
      <c r="P97" s="29" t="s">
        <v>18</v>
      </c>
      <c r="Q97" s="21">
        <f>$E$20</f>
        <v>90</v>
      </c>
      <c r="T97" s="25"/>
      <c r="U97" s="29" t="s">
        <v>18</v>
      </c>
      <c r="V97" s="21">
        <f>$E$20</f>
        <v>90</v>
      </c>
      <c r="W97" s="21">
        <f>V97</f>
        <v>90</v>
      </c>
      <c r="X97" s="21">
        <f>W97</f>
        <v>90</v>
      </c>
      <c r="Y97" s="21">
        <f>X97</f>
        <v>90</v>
      </c>
    </row>
    <row r="98" spans="2:25" ht="12.75">
      <c r="B98" s="25"/>
      <c r="C98" s="30" t="s">
        <v>30</v>
      </c>
      <c r="D98" s="23">
        <f>D89</f>
        <v>36.9471563563366</v>
      </c>
      <c r="G98" s="25"/>
      <c r="H98" s="30" t="s">
        <v>30</v>
      </c>
      <c r="I98" s="33">
        <f>I89</f>
        <v>30.31902204794401</v>
      </c>
      <c r="J98" s="39">
        <f>J89</f>
        <v>34.9459287441274</v>
      </c>
      <c r="K98" s="39">
        <f>K89</f>
        <v>34.9991824217578</v>
      </c>
      <c r="L98" s="39" t="e">
        <f>L89</f>
        <v>#DIV/0!</v>
      </c>
      <c r="O98" s="25"/>
      <c r="P98" s="30" t="s">
        <v>30</v>
      </c>
      <c r="Q98" s="146">
        <f>Q91</f>
        <v>36.033286367305585</v>
      </c>
      <c r="R98" s="35"/>
      <c r="T98" s="25"/>
      <c r="U98" s="30" t="s">
        <v>30</v>
      </c>
      <c r="V98" s="33">
        <f>V91</f>
        <v>29.662574188839212</v>
      </c>
      <c r="W98" s="39">
        <f>W91</f>
        <v>32.74640813141246</v>
      </c>
      <c r="X98" s="39">
        <f>X91</f>
        <v>34.76139444273444</v>
      </c>
      <c r="Y98" s="39" t="e">
        <f>Y91</f>
        <v>#DIV/0!</v>
      </c>
    </row>
    <row r="99" spans="2:25" ht="12.75">
      <c r="B99" s="25"/>
      <c r="C99" s="36" t="s">
        <v>91</v>
      </c>
      <c r="D99" s="20">
        <f>D85</f>
        <v>0.240000000000002</v>
      </c>
      <c r="G99" s="25"/>
      <c r="H99" s="36" t="s">
        <v>91</v>
      </c>
      <c r="I99" s="20">
        <f>I85</f>
        <v>-1.2199999999999998</v>
      </c>
      <c r="J99" s="20">
        <f>J85</f>
        <v>-0.7394736842105266</v>
      </c>
      <c r="K99" s="20">
        <f>K85</f>
        <v>0.5344736842105255</v>
      </c>
      <c r="L99" s="20" t="e">
        <f>L85</f>
        <v>#DIV/0!</v>
      </c>
      <c r="O99" s="25"/>
      <c r="P99" s="36" t="s">
        <v>93</v>
      </c>
      <c r="Q99" s="20">
        <f>100*EXP(Q165/100)-100</f>
        <v>1.3332244580779076</v>
      </c>
      <c r="R99" s="35"/>
      <c r="T99" s="25"/>
      <c r="U99" s="36" t="s">
        <v>93</v>
      </c>
      <c r="V99" s="20">
        <f>100*EXP(V165/100)-100</f>
        <v>-10.351261175431361</v>
      </c>
      <c r="W99" s="20">
        <f aca="true" t="shared" si="88" ref="V99:Y102">100*EXP(W165/100)-100</f>
        <v>-6.437963404325998</v>
      </c>
      <c r="X99" s="20">
        <f t="shared" si="88"/>
        <v>4.826832265063302</v>
      </c>
      <c r="Y99" s="20" t="e">
        <f t="shared" si="88"/>
        <v>#DIV/0!</v>
      </c>
    </row>
    <row r="100" spans="2:25" s="81" customFormat="1" ht="12.75" customHeight="1">
      <c r="B100" s="273" t="str">
        <f>CONCATENATE(TEXT($E$20,"0"),"% confidence
limits")</f>
        <v>90% confidence
limits</v>
      </c>
      <c r="C100" s="26" t="s">
        <v>19</v>
      </c>
      <c r="D100" s="88">
        <f>D99-TINV((100-D97)/100,D98)*ABS(D99)/TINV(D96,D98)</f>
        <v>-0.9187218008446414</v>
      </c>
      <c r="G100" s="273" t="str">
        <f>CONCATENATE(TEXT($E$20,"0"),"% confidence
limits")</f>
        <v>90% confidence
limits</v>
      </c>
      <c r="H100" s="26" t="s">
        <v>19</v>
      </c>
      <c r="I100" s="88">
        <f>I99-TINV((100-I97)/100,I98)*ABS(I99)/TINV(I96,I98)</f>
        <v>-1.7164916586706207</v>
      </c>
      <c r="J100" s="88">
        <f>J99-TINV((100-J97)/100,J98)*ABS(J99)/TINV(J96,J98)</f>
        <v>-1.4092772621296619</v>
      </c>
      <c r="K100" s="88">
        <f>K99-TINV((100-K97)/100,K98)*ABS(K99)/TINV(K96,K98)</f>
        <v>-0.13569423336624387</v>
      </c>
      <c r="L100" s="88" t="e">
        <f>L99-TINV((100-L97)/100,L98)*ABS(L99)/TINV(L96,L98)</f>
        <v>#DIV/0!</v>
      </c>
      <c r="O100" s="271" t="str">
        <f>CONCATENATE(TEXT($E$20,"0"),"% confidence
limits")</f>
        <v>90% confidence
limits</v>
      </c>
      <c r="P100" s="26" t="s">
        <v>19</v>
      </c>
      <c r="Q100" s="88">
        <f>100*EXP(Q166/100)-100</f>
        <v>-8.239848931292954</v>
      </c>
      <c r="R100" s="82"/>
      <c r="T100" s="271" t="str">
        <f>CONCATENATE(TEXT($E$20,"0"),"% confidence
limits")</f>
        <v>90% confidence
limits</v>
      </c>
      <c r="U100" s="26" t="s">
        <v>19</v>
      </c>
      <c r="V100" s="88">
        <f t="shared" si="88"/>
        <v>-14.158570418946653</v>
      </c>
      <c r="W100" s="88">
        <f t="shared" si="88"/>
        <v>-11.64789712610039</v>
      </c>
      <c r="X100" s="88">
        <f t="shared" si="88"/>
        <v>-0.8541083417758131</v>
      </c>
      <c r="Y100" s="88" t="e">
        <f t="shared" si="88"/>
        <v>#DIV/0!</v>
      </c>
    </row>
    <row r="101" spans="2:25" s="81" customFormat="1" ht="12.75" customHeight="1">
      <c r="B101" s="274"/>
      <c r="C101" s="15" t="s">
        <v>20</v>
      </c>
      <c r="D101" s="93">
        <f>D99+TINV((100-D97)/100,D98)*ABS(D99)/TINV(D96,D98)</f>
        <v>1.3987218008446454</v>
      </c>
      <c r="G101" s="274"/>
      <c r="H101" s="15" t="s">
        <v>20</v>
      </c>
      <c r="I101" s="93">
        <f>I99+TINV((100-I97)/100,I98)*ABS(I99)/TINV(I96,I98)</f>
        <v>-0.7235083413293788</v>
      </c>
      <c r="J101" s="93">
        <f>J99+TINV((100-J97)/100,J98)*ABS(J99)/TINV(J96,J98)</f>
        <v>-0.06967010629139148</v>
      </c>
      <c r="K101" s="93">
        <f>K99+TINV((100-K97)/100,K98)*ABS(K99)/TINV(K96,K98)</f>
        <v>1.204641601787295</v>
      </c>
      <c r="L101" s="93" t="e">
        <f>L99+TINV((100-L97)/100,L98)*ABS(L99)/TINV(L96,L98)</f>
        <v>#DIV/0!</v>
      </c>
      <c r="O101" s="272"/>
      <c r="P101" s="15" t="s">
        <v>20</v>
      </c>
      <c r="Q101" s="93">
        <f>100*EXP(Q167/100)-100</f>
        <v>11.90502913822074</v>
      </c>
      <c r="R101" s="100"/>
      <c r="T101" s="272"/>
      <c r="U101" s="15" t="s">
        <v>20</v>
      </c>
      <c r="V101" s="93">
        <f t="shared" si="88"/>
        <v>-6.375087040610055</v>
      </c>
      <c r="W101" s="93">
        <f t="shared" si="88"/>
        <v>-0.9208110821746374</v>
      </c>
      <c r="X101" s="93">
        <f t="shared" si="88"/>
        <v>10.833283950966461</v>
      </c>
      <c r="Y101" s="93" t="e">
        <f t="shared" si="88"/>
        <v>#DIV/0!</v>
      </c>
    </row>
    <row r="102" spans="2:25" s="81" customFormat="1" ht="14.25">
      <c r="B102" s="275"/>
      <c r="C102" s="31" t="s">
        <v>21</v>
      </c>
      <c r="D102" s="96">
        <f>(D101-D100)/2</f>
        <v>1.1587218008446434</v>
      </c>
      <c r="G102" s="275"/>
      <c r="H102" s="16" t="s">
        <v>21</v>
      </c>
      <c r="I102" s="96">
        <f>(I101-I100)/2</f>
        <v>0.49649165867062095</v>
      </c>
      <c r="J102" s="96">
        <f>(J101-J100)/2</f>
        <v>0.6698035779191351</v>
      </c>
      <c r="K102" s="96">
        <f>(K101-K100)/2</f>
        <v>0.6701679175767694</v>
      </c>
      <c r="L102" s="96" t="e">
        <f>(L101-L100)/2</f>
        <v>#DIV/0!</v>
      </c>
      <c r="O102" s="101"/>
      <c r="P102" s="16" t="s">
        <v>182</v>
      </c>
      <c r="Q102" s="87">
        <f>100*EXP(Q168/100)-100</f>
        <v>10.432713196170369</v>
      </c>
      <c r="R102" s="100"/>
      <c r="T102" s="101"/>
      <c r="U102" s="16" t="s">
        <v>182</v>
      </c>
      <c r="V102" s="87">
        <f t="shared" si="88"/>
        <v>4.435281730624439</v>
      </c>
      <c r="W102" s="87">
        <f t="shared" si="88"/>
        <v>5.89678519503974</v>
      </c>
      <c r="X102" s="87">
        <f t="shared" si="88"/>
        <v>5.729879989805781</v>
      </c>
      <c r="Y102" s="87" t="e">
        <f t="shared" si="88"/>
        <v>#DIV/0!</v>
      </c>
    </row>
    <row r="103" spans="2:25" s="81" customFormat="1" ht="12.75" customHeight="1">
      <c r="B103" s="263" t="s">
        <v>98</v>
      </c>
      <c r="C103" s="97" t="s">
        <v>24</v>
      </c>
      <c r="D103" s="55">
        <f>I103</f>
        <v>1</v>
      </c>
      <c r="G103" s="231" t="s">
        <v>22</v>
      </c>
      <c r="H103" s="97" t="s">
        <v>24</v>
      </c>
      <c r="I103" s="164">
        <v>1</v>
      </c>
      <c r="J103" s="55">
        <f>I103</f>
        <v>1</v>
      </c>
      <c r="K103" s="55">
        <f>J103</f>
        <v>1</v>
      </c>
      <c r="L103" s="55">
        <f>K103</f>
        <v>1</v>
      </c>
      <c r="O103" s="263" t="s">
        <v>98</v>
      </c>
      <c r="P103" s="97" t="s">
        <v>24</v>
      </c>
      <c r="Q103" s="55">
        <f>V103</f>
        <v>10</v>
      </c>
      <c r="R103" s="82"/>
      <c r="T103" s="231" t="s">
        <v>22</v>
      </c>
      <c r="U103" s="97" t="s">
        <v>24</v>
      </c>
      <c r="V103" s="164">
        <v>10</v>
      </c>
      <c r="W103" s="55">
        <f>V103</f>
        <v>10</v>
      </c>
      <c r="X103" s="55">
        <f>W103</f>
        <v>10</v>
      </c>
      <c r="Y103" s="55">
        <f>X103</f>
        <v>10</v>
      </c>
    </row>
    <row r="104" spans="2:25" s="81" customFormat="1" ht="12.75" customHeight="1">
      <c r="B104" s="264"/>
      <c r="C104" s="98" t="s">
        <v>25</v>
      </c>
      <c r="D104" s="57">
        <f>-D103</f>
        <v>-1</v>
      </c>
      <c r="E104" s="65"/>
      <c r="F104" s="27"/>
      <c r="G104" s="232"/>
      <c r="H104" s="98" t="s">
        <v>25</v>
      </c>
      <c r="I104" s="166">
        <f>-I103</f>
        <v>-1</v>
      </c>
      <c r="J104" s="57">
        <f>-J103</f>
        <v>-1</v>
      </c>
      <c r="K104" s="57">
        <f>-K103</f>
        <v>-1</v>
      </c>
      <c r="L104" s="57">
        <f>-L103</f>
        <v>-1</v>
      </c>
      <c r="O104" s="264"/>
      <c r="P104" s="98" t="s">
        <v>25</v>
      </c>
      <c r="Q104" s="57">
        <f>-Q103</f>
        <v>-10</v>
      </c>
      <c r="R104" s="33"/>
      <c r="T104" s="232"/>
      <c r="U104" s="98" t="s">
        <v>25</v>
      </c>
      <c r="V104" s="166">
        <f>-V103</f>
        <v>-10</v>
      </c>
      <c r="W104" s="57">
        <f>-W103</f>
        <v>-10</v>
      </c>
      <c r="X104" s="57">
        <f>-X103</f>
        <v>-10</v>
      </c>
      <c r="Y104" s="57">
        <f>-Y103</f>
        <v>-10</v>
      </c>
    </row>
    <row r="105" spans="2:25" s="81" customFormat="1" ht="12.75" customHeight="1">
      <c r="B105" s="233" t="s">
        <v>26</v>
      </c>
      <c r="C105" s="280" t="s">
        <v>24</v>
      </c>
      <c r="D105" s="99">
        <f>IF(ISERROR(TDIST((D103-D99)/ABS(D99)*TINV(D96,D98),D98,1)),1-TDIST((D99-D103)/ABS(D99)*TINV(D96,D98),D98,1),TDIST((D103-D99)/ABS(D99)*TINV(D96,D98),D98,1))*100</f>
        <v>13.774431707992573</v>
      </c>
      <c r="E105" s="32"/>
      <c r="F105" s="27"/>
      <c r="G105" s="233" t="s">
        <v>26</v>
      </c>
      <c r="H105" s="236" t="s">
        <v>24</v>
      </c>
      <c r="I105" s="99">
        <f>IF(ISERROR(TDIST((I103-I99)/ABS(I99)*TINV(I96,I98),I98,1)),1-TDIST((I99-I103)/ABS(I99)*TINV(I96,I98),I98,1),TDIST((I103-I99)/ABS(I99)*TINV(I96,I98),I98,1))*100</f>
        <v>9.175853914555257E-07</v>
      </c>
      <c r="J105" s="99">
        <f>IF(ISERROR(TDIST((J103-J99)/ABS(J99)*TINV(J96,J98),J98,1)),1-TDIST((J99-J103)/ABS(J99)*TINV(J96,J98),J98,1),TDIST((J103-J99)/ABS(J99)*TINV(J96,J98),J98,1))*100</f>
        <v>0.005205810652819797</v>
      </c>
      <c r="K105" s="99">
        <f>IF(ISERROR(TDIST((K103-K99)/ABS(K99)*TINV(K96,K98),K98,1)),1-TDIST((K99-K103)/ABS(K99)*TINV(K96,K98),K98,1),TDIST((K103-K99)/ABS(K99)*TINV(K96,K98),K98,1))*100</f>
        <v>12.416096355956114</v>
      </c>
      <c r="L105" s="99" t="e">
        <f>IF(ISERROR(TDIST((L103-L99)/ABS(L99)*TINV(L96,L98),L98,1)),1-TDIST((L99-L103)/ABS(L99)*TINV(L96,L98),L98,1),TDIST((L103-L99)/ABS(L99)*TINV(L96,L98),L98,1))*100</f>
        <v>#DIV/0!</v>
      </c>
      <c r="O105" s="233" t="s">
        <v>26</v>
      </c>
      <c r="P105" s="236" t="s">
        <v>24</v>
      </c>
      <c r="Q105" s="99">
        <f aca="true" t="shared" si="89" ref="Q105:Q110">Q171</f>
        <v>8.5605085285482</v>
      </c>
      <c r="T105" s="233" t="s">
        <v>26</v>
      </c>
      <c r="U105" s="236" t="s">
        <v>24</v>
      </c>
      <c r="V105" s="99">
        <f>V171</f>
        <v>3.907014214164397E-07</v>
      </c>
      <c r="W105" s="99">
        <f>W171</f>
        <v>0.0018532716948423972</v>
      </c>
      <c r="X105" s="99">
        <f>X171</f>
        <v>7.647634691894256</v>
      </c>
      <c r="Y105" s="99" t="e">
        <f>Y171</f>
        <v>#DIV/0!</v>
      </c>
    </row>
    <row r="106" spans="2:25" s="81" customFormat="1" ht="30.75" customHeight="1">
      <c r="B106" s="234"/>
      <c r="C106" s="281"/>
      <c r="D106" s="24" t="str">
        <f>IF(D105&lt;1,"almost certainly not",IF(D105&lt;5,"very unlikely",IF(D105&lt;25,"unlikely, probably not",IF(D105&lt;75,"possibly, may (not)",IF(D105&lt;95,"likely, probable",IF(D105&lt;99,"very likely","almost certainly"))))))</f>
        <v>unlikely, probably not</v>
      </c>
      <c r="E106" s="130"/>
      <c r="F106" s="131"/>
      <c r="G106" s="234"/>
      <c r="H106" s="237"/>
      <c r="I106" s="24" t="str">
        <f>IF(I105&lt;1,"almost certainly not",IF(I105&lt;5,"very unlikely",IF(I105&lt;25,"unlikely, probably not",IF(I105&lt;75,"possibly, may (not)",IF(I105&lt;95,"likely, probable",IF(I105&lt;99,"very likely","almost certainly"))))))</f>
        <v>almost certainly not</v>
      </c>
      <c r="J106" s="24" t="str">
        <f>IF(J105&lt;1,"almost certainly not",IF(J105&lt;5,"very unlikely",IF(J105&lt;25,"unlikely, probably not",IF(J105&lt;75,"possibly, may (not)",IF(J105&lt;95,"likely, probable",IF(J105&lt;99,"very likely","almost certainly"))))))</f>
        <v>almost certainly not</v>
      </c>
      <c r="K106" s="24" t="str">
        <f>IF(K105&lt;1,"almost certainly not",IF(K105&lt;5,"very unlikely",IF(K105&lt;25,"unlikely, probably not",IF(K105&lt;75,"possibly, may (not)",IF(K105&lt;95,"likely, probable",IF(K105&lt;99,"very likely","almost certainly"))))))</f>
        <v>unlikely, probably not</v>
      </c>
      <c r="L106" s="24" t="e">
        <f>IF(L105&lt;1,"almost certainly not",IF(L105&lt;5,"very unlikely",IF(L105&lt;25,"unlikely, probably not",IF(L105&lt;75,"possibly, may (not)",IF(L105&lt;95,"likely, probable",IF(L105&lt;99,"very likely","almost certainly"))))))</f>
        <v>#DIV/0!</v>
      </c>
      <c r="O106" s="234"/>
      <c r="P106" s="237"/>
      <c r="Q106" s="24" t="str">
        <f t="shared" si="89"/>
        <v>unlikely, probably not</v>
      </c>
      <c r="T106" s="234"/>
      <c r="U106" s="237"/>
      <c r="V106" s="24" t="str">
        <f aca="true" t="shared" si="90" ref="V106:X110">V172</f>
        <v>almost certainly not</v>
      </c>
      <c r="W106" s="24" t="str">
        <f t="shared" si="90"/>
        <v>almost certainly not</v>
      </c>
      <c r="X106" s="24" t="str">
        <f t="shared" si="90"/>
        <v>unlikely, probably not</v>
      </c>
      <c r="Y106" s="24" t="e">
        <f>Y172</f>
        <v>#DIV/0!</v>
      </c>
    </row>
    <row r="107" spans="2:25" s="81" customFormat="1" ht="12.75">
      <c r="B107" s="234"/>
      <c r="C107" s="282" t="s">
        <v>23</v>
      </c>
      <c r="D107" s="99">
        <f>100-D105-D109</f>
        <v>82.26706081841643</v>
      </c>
      <c r="E107" s="27"/>
      <c r="F107" s="27"/>
      <c r="G107" s="234"/>
      <c r="H107" s="238" t="s">
        <v>23</v>
      </c>
      <c r="I107" s="99">
        <f>100-I105-I109</f>
        <v>22.89342074976649</v>
      </c>
      <c r="J107" s="99">
        <f>100-J105-J109</f>
        <v>74.23683622532528</v>
      </c>
      <c r="K107" s="99">
        <f>100-K105-K109</f>
        <v>87.56055235457855</v>
      </c>
      <c r="L107" s="99" t="e">
        <f>100-L105-L109</f>
        <v>#DIV/0!</v>
      </c>
      <c r="O107" s="234"/>
      <c r="P107" s="238" t="s">
        <v>23</v>
      </c>
      <c r="Q107" s="99">
        <f t="shared" si="89"/>
        <v>87.78922353229945</v>
      </c>
      <c r="T107" s="234"/>
      <c r="U107" s="238" t="s">
        <v>23</v>
      </c>
      <c r="V107" s="99">
        <f t="shared" si="90"/>
        <v>29.44151828792019</v>
      </c>
      <c r="W107" s="99">
        <f t="shared" si="90"/>
        <v>79.92746066067484</v>
      </c>
      <c r="X107" s="99">
        <f t="shared" si="90"/>
        <v>92.34601018699436</v>
      </c>
      <c r="Y107" s="99" t="e">
        <f>Y173</f>
        <v>#DIV/0!</v>
      </c>
    </row>
    <row r="108" spans="2:25" s="81" customFormat="1" ht="28.5" customHeight="1">
      <c r="B108" s="234"/>
      <c r="C108" s="283"/>
      <c r="D108" s="24" t="str">
        <f>IF(D107&lt;1,"almost certainly not",IF(D107&lt;5,"very unlikely",IF(D107&lt;25,"unlikely, probably not",IF(D107&lt;75,"possibly, may (not)",IF(D107&lt;95,"likely, probable",IF(D107&lt;99,"very likely","almost certainly"))))))</f>
        <v>likely, probable</v>
      </c>
      <c r="E108" s="34"/>
      <c r="F108" s="34"/>
      <c r="G108" s="234"/>
      <c r="H108" s="239"/>
      <c r="I108" s="24" t="str">
        <f>IF(I107&lt;1,"almost certainly not",IF(I107&lt;5,"very unlikely",IF(I107&lt;25,"unlikely, probably not",IF(I107&lt;75,"possibly, may (not)",IF(I107&lt;95,"likely, probable",IF(I107&lt;99,"very likely","almost certainly"))))))</f>
        <v>unlikely, probably not</v>
      </c>
      <c r="J108" s="24" t="str">
        <f>IF(J107&lt;1,"almost certainly not",IF(J107&lt;5,"very unlikely",IF(J107&lt;25,"unlikely, probably not",IF(J107&lt;75,"possibly, may (not)",IF(J107&lt;95,"likely, probable",IF(J107&lt;99,"very likely","almost certainly"))))))</f>
        <v>possibly, may (not)</v>
      </c>
      <c r="K108" s="24" t="str">
        <f>IF(K107&lt;1,"almost certainly not",IF(K107&lt;5,"very unlikely",IF(K107&lt;25,"unlikely, probably not",IF(K107&lt;75,"possibly, may (not)",IF(K107&lt;95,"likely, probable",IF(K107&lt;99,"very likely","almost certainly"))))))</f>
        <v>likely, probable</v>
      </c>
      <c r="L108" s="24" t="e">
        <f>IF(L107&lt;1,"almost certainly not",IF(L107&lt;5,"very unlikely",IF(L107&lt;25,"unlikely, probably not",IF(L107&lt;75,"possibly, may (not)",IF(L107&lt;95,"likely, probable",IF(L107&lt;99,"very likely","almost certainly"))))))</f>
        <v>#DIV/0!</v>
      </c>
      <c r="O108" s="234"/>
      <c r="P108" s="239"/>
      <c r="Q108" s="24" t="str">
        <f t="shared" si="89"/>
        <v>likely, probable</v>
      </c>
      <c r="T108" s="234"/>
      <c r="U108" s="239"/>
      <c r="V108" s="24" t="str">
        <f t="shared" si="90"/>
        <v>possibly, may (not)</v>
      </c>
      <c r="W108" s="24" t="str">
        <f t="shared" si="90"/>
        <v>likely, probable</v>
      </c>
      <c r="X108" s="24" t="str">
        <f t="shared" si="90"/>
        <v>likely, probable</v>
      </c>
      <c r="Y108" s="24" t="e">
        <f>Y174</f>
        <v>#DIV/0!</v>
      </c>
    </row>
    <row r="109" spans="2:25" s="81" customFormat="1" ht="12.75">
      <c r="B109" s="234"/>
      <c r="C109" s="284" t="s">
        <v>25</v>
      </c>
      <c r="D109" s="99">
        <f>IF(ISERROR(TDIST((D104-D99)/ABS(D99)*TINV(D96,D98),D98,1)),TDIST((D99-D104)/ABS(D99)*TINV(D96,D98),D98,1),1-TDIST((D104-D99)/ABS(D99)*TINV(D96,D98),D98,1))*100</f>
        <v>3.958507473591001</v>
      </c>
      <c r="E109" s="132"/>
      <c r="F109" s="132"/>
      <c r="G109" s="234"/>
      <c r="H109" s="240" t="s">
        <v>25</v>
      </c>
      <c r="I109" s="99">
        <f>IF(ISERROR(TDIST((I104-I99)/ABS(I99)*TINV(I96,I98),I98,1)),TDIST((I99-I104)/ABS(I99)*TINV(I96,I98),I98,1),1-TDIST((I104-I99)/ABS(I99)*TINV(I96,I98),I98,1))*100</f>
        <v>77.10657833264811</v>
      </c>
      <c r="J109" s="99">
        <f>IF(ISERROR(TDIST((J104-J99)/ABS(J99)*TINV(J96,J98),J98,1)),TDIST((J99-J104)/ABS(J99)*TINV(J96,J98),J98,1),1-TDIST((J104-J99)/ABS(J99)*TINV(J96,J98),J98,1))*100</f>
        <v>25.757957964021895</v>
      </c>
      <c r="K109" s="99">
        <f>IF(ISERROR(TDIST((K104-K99)/ABS(K99)*TINV(K96,K98),K98,1)),TDIST((K99-K104)/ABS(K99)*TINV(K96,K98),K98,1),1-TDIST((K104-K99)/ABS(K99)*TINV(K96,K98),K98,1))*100</f>
        <v>0.02335128946533588</v>
      </c>
      <c r="L109" s="99" t="e">
        <f>IF(ISERROR(TDIST((L104-L99)/ABS(L99)*TINV(L96,L98),L98,1)),TDIST((L99-L104)/ABS(L99)*TINV(L96,L98),L98,1),1-TDIST((L104-L99)/ABS(L99)*TINV(L96,L98),L98,1))*100</f>
        <v>#DIV/0!</v>
      </c>
      <c r="O109" s="234"/>
      <c r="P109" s="240" t="s">
        <v>25</v>
      </c>
      <c r="Q109" s="99">
        <f t="shared" si="89"/>
        <v>3.650267939152363</v>
      </c>
      <c r="T109" s="234"/>
      <c r="U109" s="240" t="s">
        <v>25</v>
      </c>
      <c r="V109" s="99">
        <f t="shared" si="90"/>
        <v>70.5584813213784</v>
      </c>
      <c r="W109" s="99">
        <f t="shared" si="90"/>
        <v>20.070686067630323</v>
      </c>
      <c r="X109" s="99">
        <f t="shared" si="90"/>
        <v>0.006355121111378732</v>
      </c>
      <c r="Y109" s="99" t="e">
        <f>Y175</f>
        <v>#DIV/0!</v>
      </c>
    </row>
    <row r="110" spans="2:25" s="81" customFormat="1" ht="28.5" customHeight="1">
      <c r="B110" s="235"/>
      <c r="C110" s="285"/>
      <c r="D110" s="24" t="str">
        <f>IF(D109&lt;1,"almost certainly not",IF(D109&lt;5,"very unlikely",IF(D109&lt;25,"unlikely, probably not",IF(D109&lt;75,"possibly, may (not)",IF(D109&lt;95,"likely, probable",IF(D109&lt;99,"very likely","almost certainly"))))))</f>
        <v>very unlikely</v>
      </c>
      <c r="E110" s="27"/>
      <c r="F110" s="27"/>
      <c r="G110" s="234"/>
      <c r="H110" s="241"/>
      <c r="I110" s="123" t="str">
        <f>IF(I109&lt;1,"almost certainly not",IF(I109&lt;5,"very unlikely",IF(I109&lt;25,"unlikely, probably not",IF(I109&lt;75,"possibly, may (not)",IF(I109&lt;95,"likely, probable",IF(I109&lt;99,"very likely","almost certainly"))))))</f>
        <v>likely, probable</v>
      </c>
      <c r="J110" s="123" t="str">
        <f>IF(J109&lt;1,"almost certainly not",IF(J109&lt;5,"very unlikely",IF(J109&lt;25,"unlikely, probably not",IF(J109&lt;75,"possibly, may (not)",IF(J109&lt;95,"likely, probable",IF(J109&lt;99,"very likely","almost certainly"))))))</f>
        <v>possibly, may (not)</v>
      </c>
      <c r="K110" s="123" t="str">
        <f>IF(K109&lt;1,"almost certainly not",IF(K109&lt;5,"very unlikely",IF(K109&lt;25,"unlikely, probably not",IF(K109&lt;75,"possibly, may (not)",IF(K109&lt;95,"likely, probable",IF(K109&lt;99,"very likely","almost certainly"))))))</f>
        <v>almost certainly not</v>
      </c>
      <c r="L110" s="123" t="e">
        <f>IF(L109&lt;1,"almost certainly not",IF(L109&lt;5,"very unlikely",IF(L109&lt;25,"unlikely, probably not",IF(L109&lt;75,"possibly, may (not)",IF(L109&lt;95,"likely, probable",IF(L109&lt;99,"very likely","almost certainly"))))))</f>
        <v>#DIV/0!</v>
      </c>
      <c r="O110" s="235"/>
      <c r="P110" s="242"/>
      <c r="Q110" s="24" t="str">
        <f t="shared" si="89"/>
        <v>very unlikely</v>
      </c>
      <c r="T110" s="235"/>
      <c r="U110" s="242"/>
      <c r="V110" s="24" t="str">
        <f t="shared" si="90"/>
        <v>possibly, may (not)</v>
      </c>
      <c r="W110" s="24" t="str">
        <f t="shared" si="90"/>
        <v>unlikely, probably not</v>
      </c>
      <c r="X110" s="24" t="str">
        <f t="shared" si="90"/>
        <v>almost certainly not</v>
      </c>
      <c r="Y110" s="24" t="e">
        <f>Y176</f>
        <v>#DIV/0!</v>
      </c>
    </row>
    <row r="111" spans="5:25" ht="12.75">
      <c r="E111" s="27"/>
      <c r="F111" s="27"/>
      <c r="G111" s="25"/>
      <c r="H111" s="49"/>
      <c r="I111" s="49"/>
      <c r="J111" s="49"/>
      <c r="K111" s="49"/>
      <c r="L111" s="50"/>
      <c r="O111" s="25"/>
      <c r="P111" s="49"/>
      <c r="Q111" s="50"/>
      <c r="T111" s="40"/>
      <c r="U111" s="27"/>
      <c r="V111" s="27"/>
      <c r="W111" s="27"/>
      <c r="X111" s="41"/>
      <c r="Y111" s="41"/>
    </row>
    <row r="112" spans="2:25" ht="12.75">
      <c r="B112" s="25"/>
      <c r="C112" s="43" t="s">
        <v>28</v>
      </c>
      <c r="D112" s="87">
        <f>IF(ISERROR(SQRT(D72^2-D45^2)),-SQRT(D45^2-D72^2),SQRT(D72^2-D45^2))</f>
        <v>1.2613276213660585</v>
      </c>
      <c r="E112" s="34"/>
      <c r="F112" s="34"/>
      <c r="G112" s="124"/>
      <c r="H112" s="125" t="s">
        <v>28</v>
      </c>
      <c r="I112" s="96">
        <f>IF(ISERROR(SQRT(I72^2-I45^2)),-SQRT(I45^2-I72^2),SQRT(I72^2-I45^2))</f>
        <v>0.9294027510633965</v>
      </c>
      <c r="J112" s="96">
        <f>IF(ISERROR(SQRT(J72^2-J45^2)),-SQRT(J45^2-J72^2),SQRT(J72^2-J45^2))</f>
        <v>0.9509305999114509</v>
      </c>
      <c r="K112" s="126">
        <f>IF(ISERROR(SQRT(K72^2-K45^2)),-SQRT(K45^2-K72^2),SQRT(K72^2-K45^2))</f>
        <v>0.9457677347991595</v>
      </c>
      <c r="L112" s="126" t="e">
        <f>IF(ISERROR(SQRT(L72^2-L45^2)),-SQRT(L45^2-L72^2),SQRT(L72^2-L45^2))</f>
        <v>#DIV/0!</v>
      </c>
      <c r="O112" s="25"/>
      <c r="P112" s="43" t="s">
        <v>37</v>
      </c>
      <c r="Q112" s="87">
        <f>100*EXP(Q178/100)-100</f>
        <v>13.548151657813818</v>
      </c>
      <c r="T112" s="25"/>
      <c r="U112" s="43" t="s">
        <v>37</v>
      </c>
      <c r="V112" s="87">
        <f>100*EXP(V178/100)-100</f>
        <v>8.70002552586891</v>
      </c>
      <c r="W112" s="19">
        <f>100*EXP(W178/100)-100</f>
        <v>10.082961761786052</v>
      </c>
      <c r="X112" s="19">
        <f>100*EXP(X178/100)-100</f>
        <v>8.391028734756517</v>
      </c>
      <c r="Y112" s="19" t="e">
        <f>100*EXP(Y178/100)-100</f>
        <v>#DIV/0!</v>
      </c>
    </row>
    <row r="113" spans="2:25" ht="12.75" customHeight="1">
      <c r="B113" s="226" t="str">
        <f>CONCATENATE(TEXT($E$20,"0"),"% confidence
limits (approx.)")</f>
        <v>90% confidence
limits (approx.)</v>
      </c>
      <c r="C113" s="26" t="s">
        <v>19</v>
      </c>
      <c r="D113" s="88">
        <f>IF(ISERROR(SQRT(D72^2-D45^2+NORMINV(0.5-$E$20/200,0,1)*SQRT(2*D45^4/(COUNT(D24:D43)-1)+2*D72^4/(COUNT(D51:D70)-1)))),-SQRT(-(D72^2-D45^2+NORMINV(0.5-$E$20/200,0,1)*SQRT(2*D45^4/(COUNT(D24:D43)-1)+2*D72^4/(COUNT(D51:D70)-1)))),SQRT(D72^2-D45^2+NORMINV(0.5-$E$20/200,0,1)*SQRT(2*D45^4/(COUNT(D24:D43)-1)+2*D72^4/(COUNT(D51:D70)-1))))</f>
        <v>-1.4197897810471252</v>
      </c>
      <c r="E113" s="132"/>
      <c r="F113" s="132"/>
      <c r="G113" s="226" t="str">
        <f>CONCATENATE(TEXT($E$20,"0"),"% confidence
limits (approx.)")</f>
        <v>90% confidence
limits (approx.)</v>
      </c>
      <c r="H113" s="26" t="s">
        <v>19</v>
      </c>
      <c r="I113" s="88">
        <f>IF(ISERROR(SQRT(I72^2-I45^2+NORMINV(0.5-$E$20/200,0,1)*SQRT(2*I45^4/(COUNT(I24:I43)-1)+2*I72^4/(COUNT(I51:I70)-1)))),-SQRT(-(I72^2-I45^2+NORMINV(0.5-$E$20/200,0,1)*SQRT(2*I45^4/(COUNT(I24:I43)-1)+2*I72^4/(COUNT(I51:I70)-1)))),SQRT(I72^2-I45^2+NORMINV(0.5-$E$20/200,0,1)*SQRT(2*I45^4/(COUNT(I24:I43)-1)+2*I72^4/(COUNT(I51:I70)-1))))</f>
        <v>0.37253595289503016</v>
      </c>
      <c r="J113" s="88">
        <f>IF(ISERROR(SQRT(J72^2-J45^2+NORMINV(0.5-$E$20/200,0,1)*SQRT(2*J45^4/(COUNT(J24:J43)-1)+2*J72^4/(COUNT(J51:J70)-1)))),-SQRT(-(J72^2-J45^2+NORMINV(0.5-$E$20/200,0,1)*SQRT(2*J45^4/(COUNT(J24:J43)-1)+2*J72^4/(COUNT(J51:J70)-1)))),SQRT(J72^2-J45^2+NORMINV(0.5-$E$20/200,0,1)*SQRT(2*J45^4/(COUNT(J24:J43)-1)+2*J72^4/(COUNT(J51:J70)-1))))</f>
        <v>-0.5630645516604549</v>
      </c>
      <c r="K113" s="88">
        <f>IF(ISERROR(SQRT(K72^2-K45^2+NORMINV(0.5-$E$20/200,0,1)*SQRT(2*K45^4/(COUNT(K24:K43)-1)+2*K72^4/(COUNT(K51:K70)-1)))),-SQRT(-(K72^2-K45^2+NORMINV(0.5-$E$20/200,0,1)*SQRT(2*K45^4/(COUNT(K24:K43)-1)+2*K72^4/(COUNT(K51:K70)-1)))),SQRT(K72^2-K45^2+NORMINV(0.5-$E$20/200,0,1)*SQRT(2*K45^4/(COUNT(K24:K43)-1)+2*K72^4/(COUNT(K51:K70)-1))))</f>
        <v>-0.5712797021954256</v>
      </c>
      <c r="L113" s="88" t="e">
        <f>IF(ISERROR(SQRT(L72^2-L45^2+NORMINV(0.5-$E$20/200,0,1)*SQRT(2*L45^4/(COUNT(L24:L43)-1)+2*L72^4/(COUNT(L51:L70)-1)))),-SQRT(-(L72^2-L45^2+NORMINV(0.5-$E$20/200,0,1)*SQRT(2*L45^4/(COUNT(L24:L43)-1)+2*L72^4/(COUNT(L51:L70)-1)))),SQRT(L72^2-L45^2+NORMINV(0.5-$E$20/200,0,1)*SQRT(2*L45^4/(COUNT(L24:L43)-1)+2*L72^4/(COUNT(L51:L70)-1))))</f>
        <v>#DIV/0!</v>
      </c>
      <c r="O113" s="265" t="str">
        <f>CONCATENATE(TEXT($E$20,"0"),"% confidence
limits (approx.)")</f>
        <v>90% confidence
limits (approx.)</v>
      </c>
      <c r="P113" s="26" t="s">
        <v>19</v>
      </c>
      <c r="Q113" s="88">
        <f>100*EXP(Q179/100)-100</f>
        <v>-9.798205665551833</v>
      </c>
      <c r="T113" s="265" t="str">
        <f>CONCATENATE(TEXT($E$20,"0"),"% confidence
limits (approx.)")</f>
        <v>90% confidence
limits (approx.)</v>
      </c>
      <c r="U113" s="26" t="s">
        <v>19</v>
      </c>
      <c r="V113" s="88">
        <f aca="true" t="shared" si="91" ref="V113:X114">100*EXP(V179/100)-100</f>
        <v>3.7464943782681246</v>
      </c>
      <c r="W113" s="104">
        <f t="shared" si="91"/>
        <v>-0.3311769914492686</v>
      </c>
      <c r="X113" s="104">
        <f t="shared" si="91"/>
        <v>-4.350532012560649</v>
      </c>
      <c r="Y113" s="104" t="e">
        <f>100*EXP(Y179/100)-100</f>
        <v>#DIV/0!</v>
      </c>
    </row>
    <row r="114" spans="2:25" ht="12.75" customHeight="1">
      <c r="B114" s="227"/>
      <c r="C114" s="15" t="s">
        <v>20</v>
      </c>
      <c r="D114" s="89">
        <f>IF(ISERROR(SQRT(D72^2-D45^2+NORMINV(0.5+$E$20/200,0,1)*SQRT(2*D45^4/(COUNT(D24:D43)-1)+2*D72^4/(COUNT(D51:D70)-1)))),-SQRT(-(D72^2-D45^2+NORMINV(0.5+$E$20/200,0,1)*SQRT(2*D45^4/(COUNT(D24:D43)-1)+2*D72^4/(COUNT(D51:D70)-1)))),SQRT(D72^2-D45^2+NORMINV(0.5+$E$20/200,0,1)*SQRT(2*D45^4/(COUNT(D24:D43)-1)+2*D72^4/(COUNT(D51:D70)-1))))</f>
        <v>2.2798459946250222</v>
      </c>
      <c r="E114" s="27"/>
      <c r="F114" s="27"/>
      <c r="G114" s="227"/>
      <c r="H114" s="15" t="s">
        <v>20</v>
      </c>
      <c r="I114" s="89">
        <f>IF(ISERROR(SQRT(I72^2-I45^2+NORMINV(0.5+$E$20/200,0,1)*SQRT(2*I45^4/(COUNT(I24:I43)-1)+2*I72^4/(COUNT(I51:I70)-1)))),-SQRT(-(I72^2-I45^2+NORMINV(0.5+$E$20/200,0,1)*SQRT(2*I45^4/(COUNT(I24:I43)-1)+2*I72^4/(COUNT(I51:I70)-1)))),SQRT(I72^2-I45^2+NORMINV(0.5+$E$20/200,0,1)*SQRT(2*I45^4/(COUNT(I24:I43)-1)+2*I72^4/(COUNT(I51:I70)-1))))</f>
        <v>1.260474478586937</v>
      </c>
      <c r="J114" s="89">
        <f>IF(ISERROR(SQRT(J72^2-J45^2+NORMINV(0.5+$E$20/200,0,1)*SQRT(2*J45^4/(COUNT(J24:J43)-1)+2*J72^4/(COUNT(J51:J70)-1)))),-SQRT(-(J72^2-J45^2+NORMINV(0.5+$E$20/200,0,1)*SQRT(2*J45^4/(COUNT(J24:J43)-1)+2*J72^4/(COUNT(J51:J70)-1)))),SQRT(J72^2-J45^2+NORMINV(0.5+$E$20/200,0,1)*SQRT(2*J45^4/(COUNT(J24:J43)-1)+2*J72^4/(COUNT(J51:J70)-1))))</f>
        <v>1.4579367959663039</v>
      </c>
      <c r="K114" s="89">
        <f>IF(ISERROR(SQRT(K72^2-K45^2+NORMINV(0.5+$E$20/200,0,1)*SQRT(2*K45^4/(COUNT(K24:K43)-1)+2*K72^4/(COUNT(K51:K70)-1)))),-SQRT(-(K72^2-K45^2+NORMINV(0.5+$E$20/200,0,1)*SQRT(2*K45^4/(COUNT(K24:K43)-1)+2*K72^4/(COUNT(K51:K70)-1)))),SQRT(K72^2-K45^2+NORMINV(0.5+$E$20/200,0,1)*SQRT(2*K45^4/(COUNT(K24:K43)-1)+2*K72^4/(COUNT(K51:K70)-1))))</f>
        <v>1.4544118104975494</v>
      </c>
      <c r="L114" s="89" t="e">
        <f>IF(ISERROR(SQRT(L72^2-L45^2+NORMINV(0.5+$E$20/200,0,1)*SQRT(2*L45^4/(COUNT(L24:L43)-1)+2*L72^4/(COUNT(L51:L70)-1)))),-SQRT(-(L72^2-L45^2+NORMINV(0.5+$E$20/200,0,1)*SQRT(2*L45^4/(COUNT(L24:L43)-1)+2*L72^4/(COUNT(L51:L70)-1)))),SQRT(L72^2-L45^2+NORMINV(0.5+$E$20/200,0,1)*SQRT(2*L45^4/(COUNT(L24:L43)-1)+2*L72^4/(COUNT(L51:L70)-1))))</f>
        <v>#DIV/0!</v>
      </c>
      <c r="O114" s="266"/>
      <c r="P114" s="15" t="s">
        <v>20</v>
      </c>
      <c r="Q114" s="93">
        <f>100*EXP(Q180/100)-100</f>
        <v>23.01957463600624</v>
      </c>
      <c r="T114" s="266"/>
      <c r="U114" s="15" t="s">
        <v>20</v>
      </c>
      <c r="V114" s="93">
        <f t="shared" si="91"/>
        <v>11.862080515373052</v>
      </c>
      <c r="W114" s="105">
        <f t="shared" si="91"/>
        <v>14.55623337489817</v>
      </c>
      <c r="X114" s="105">
        <f t="shared" si="91"/>
        <v>13.012029410784919</v>
      </c>
      <c r="Y114" s="105" t="e">
        <f>100*EXP(Y180/100)-100</f>
        <v>#DIV/0!</v>
      </c>
    </row>
    <row r="115" spans="2:54" ht="12.75" customHeight="1">
      <c r="B115" s="81" t="s">
        <v>6</v>
      </c>
      <c r="E115" s="27"/>
      <c r="F115" s="27"/>
      <c r="O115" s="81" t="s">
        <v>10</v>
      </c>
      <c r="AB115" s="81" t="s">
        <v>124</v>
      </c>
      <c r="AO115" s="81" t="s">
        <v>110</v>
      </c>
      <c r="BB115" s="81" t="s">
        <v>128</v>
      </c>
    </row>
    <row r="116" spans="5:6" ht="12.75">
      <c r="E116" s="133"/>
      <c r="F116" s="27"/>
    </row>
    <row r="117" spans="2:64" ht="27.75" customHeight="1">
      <c r="B117" s="253" t="s">
        <v>174</v>
      </c>
      <c r="C117" s="254"/>
      <c r="D117" s="122" t="str">
        <f>D23</f>
        <v>Pre</v>
      </c>
      <c r="G117" s="197" t="s">
        <v>31</v>
      </c>
      <c r="H117" s="198"/>
      <c r="I117" s="122" t="str">
        <f>I23</f>
        <v>Post1-Pre</v>
      </c>
      <c r="J117" s="122" t="str">
        <f>J23</f>
        <v>Post2-Pre</v>
      </c>
      <c r="K117" s="122" t="str">
        <f>K23</f>
        <v>Post2-Post1</v>
      </c>
      <c r="L117" s="122" t="str">
        <f>L23</f>
        <v>other effect</v>
      </c>
      <c r="O117" s="253" t="s">
        <v>176</v>
      </c>
      <c r="P117" s="254"/>
      <c r="Q117" s="122" t="str">
        <f>Q23</f>
        <v>Pre</v>
      </c>
      <c r="T117" s="197" t="s">
        <v>33</v>
      </c>
      <c r="U117" s="198"/>
      <c r="V117" s="122" t="str">
        <f>V23</f>
        <v>Post1-Pre</v>
      </c>
      <c r="W117" s="122" t="str">
        <f>W23</f>
        <v>Post2-Pre</v>
      </c>
      <c r="X117" s="122" t="str">
        <f>X23</f>
        <v>Post2-Post1</v>
      </c>
      <c r="Y117" s="122" t="str">
        <f>Y23</f>
        <v>other effect</v>
      </c>
      <c r="AB117" s="253" t="s">
        <v>178</v>
      </c>
      <c r="AC117" s="254"/>
      <c r="AD117" s="122" t="str">
        <f>AD23</f>
        <v>Pre</v>
      </c>
      <c r="AG117" s="269" t="s">
        <v>120</v>
      </c>
      <c r="AH117" s="270"/>
      <c r="AI117" s="122" t="str">
        <f>AI23</f>
        <v>Post1-Pre</v>
      </c>
      <c r="AJ117" s="122" t="str">
        <f>AJ23</f>
        <v>Post2-Pre</v>
      </c>
      <c r="AK117" s="122" t="str">
        <f>AK23</f>
        <v>Post2-Post1</v>
      </c>
      <c r="AL117" s="122" t="str">
        <f>AL23</f>
        <v>other effect</v>
      </c>
      <c r="AO117" s="253" t="s">
        <v>181</v>
      </c>
      <c r="AP117" s="254"/>
      <c r="AQ117" s="122" t="str">
        <f>AQ23</f>
        <v>Pre</v>
      </c>
      <c r="AT117" s="269" t="s">
        <v>114</v>
      </c>
      <c r="AU117" s="270"/>
      <c r="AV117" s="122" t="str">
        <f>AV23</f>
        <v>Post1-Pre</v>
      </c>
      <c r="AW117" s="122" t="str">
        <f>AW23</f>
        <v>Post2-Pre</v>
      </c>
      <c r="AX117" s="122" t="str">
        <f>AX23</f>
        <v>Post2-Post1</v>
      </c>
      <c r="AY117" s="122" t="str">
        <f>AY23</f>
        <v>other effect</v>
      </c>
      <c r="BB117" s="253" t="s">
        <v>181</v>
      </c>
      <c r="BC117" s="254"/>
      <c r="BD117" s="122" t="str">
        <f>BD23</f>
        <v>Pre</v>
      </c>
      <c r="BG117" s="269" t="s">
        <v>114</v>
      </c>
      <c r="BH117" s="270"/>
      <c r="BI117" s="122" t="str">
        <f>BI23</f>
        <v>Post1-Pre</v>
      </c>
      <c r="BJ117" s="122" t="str">
        <f>BJ23</f>
        <v>Post2-Pre</v>
      </c>
      <c r="BK117" s="122" t="str">
        <f>BK23</f>
        <v>Post2-Post1</v>
      </c>
      <c r="BL117" s="122" t="str">
        <f>BL23</f>
        <v>other effect</v>
      </c>
    </row>
    <row r="118" spans="2:64" ht="12.75">
      <c r="B118" s="25"/>
      <c r="C118" s="28" t="s">
        <v>5</v>
      </c>
      <c r="D118" s="48">
        <f>D88</f>
        <v>0.7286102678518096</v>
      </c>
      <c r="G118" s="25"/>
      <c r="H118" s="28" t="s">
        <v>5</v>
      </c>
      <c r="I118" s="48">
        <f>I88</f>
        <v>0.00023843356930954466</v>
      </c>
      <c r="J118" s="48">
        <f>J88</f>
        <v>0.07057185430936766</v>
      </c>
      <c r="K118" s="48">
        <f>K88</f>
        <v>0.1863969224639288</v>
      </c>
      <c r="L118" s="48" t="e">
        <f>L88</f>
        <v>#DIV/0!</v>
      </c>
      <c r="O118" s="25"/>
      <c r="P118" s="28" t="s">
        <v>5</v>
      </c>
      <c r="Q118" s="48">
        <f>Q90</f>
        <v>0.8230030602483565</v>
      </c>
      <c r="T118" s="25"/>
      <c r="U118" s="28" t="s">
        <v>5</v>
      </c>
      <c r="V118" s="48">
        <f>V90</f>
        <v>0.00018676715563604773</v>
      </c>
      <c r="W118" s="48">
        <f>W90</f>
        <v>0.05785837564613804</v>
      </c>
      <c r="X118" s="48">
        <f>X90</f>
        <v>0.16167097462604385</v>
      </c>
      <c r="Y118" s="48" t="e">
        <f>Y90</f>
        <v>#DIV/0!</v>
      </c>
      <c r="AB118" s="25"/>
      <c r="AC118" s="28" t="s">
        <v>5</v>
      </c>
      <c r="AD118" s="48">
        <f>AD90</f>
        <v>0.5342582785184237</v>
      </c>
      <c r="AG118" s="25"/>
      <c r="AH118" s="28" t="s">
        <v>5</v>
      </c>
      <c r="AI118" s="48">
        <f>AI90</f>
        <v>0.0017852229397824137</v>
      </c>
      <c r="AJ118" s="48">
        <f>AJ90</f>
        <v>0.05533210340964405</v>
      </c>
      <c r="AK118" s="48">
        <f>AK90</f>
        <v>0.4581189813578652</v>
      </c>
      <c r="AL118" s="48" t="e">
        <f>AL90</f>
        <v>#DIV/0!</v>
      </c>
      <c r="AO118" s="25"/>
      <c r="AP118" s="28" t="s">
        <v>5</v>
      </c>
      <c r="AQ118" s="48">
        <f>AQ90</f>
        <v>0.772371756694703</v>
      </c>
      <c r="AT118" s="25"/>
      <c r="AU118" s="28" t="s">
        <v>5</v>
      </c>
      <c r="AV118" s="48">
        <f>AV90</f>
        <v>0.00019345866928094564</v>
      </c>
      <c r="AW118" s="48">
        <f>AW90</f>
        <v>0.06282163854920186</v>
      </c>
      <c r="AX118" s="48">
        <f>AX90</f>
        <v>0.17419876716842198</v>
      </c>
      <c r="AY118" s="48" t="e">
        <f>AY90</f>
        <v>#DIV/0!</v>
      </c>
      <c r="BB118" s="25"/>
      <c r="BC118" s="28" t="s">
        <v>5</v>
      </c>
      <c r="BD118" s="48">
        <f>BD90</f>
        <v>0.7668930764412133</v>
      </c>
      <c r="BG118" s="25"/>
      <c r="BH118" s="28" t="s">
        <v>5</v>
      </c>
      <c r="BI118" s="48">
        <f>BI90</f>
        <v>0.0001956434381669854</v>
      </c>
      <c r="BJ118" s="48">
        <f>BJ90</f>
        <v>0.0637642198236975</v>
      </c>
      <c r="BK118" s="48">
        <f>BK90</f>
        <v>0.17515008021004075</v>
      </c>
      <c r="BL118" s="48" t="e">
        <f>BL90</f>
        <v>#DIV/0!</v>
      </c>
    </row>
    <row r="119" spans="2:64" ht="12.75">
      <c r="B119" s="25"/>
      <c r="C119" s="29" t="s">
        <v>18</v>
      </c>
      <c r="D119" s="21">
        <f>$E$20</f>
        <v>90</v>
      </c>
      <c r="G119" s="25"/>
      <c r="H119" s="29" t="s">
        <v>18</v>
      </c>
      <c r="I119" s="21">
        <f>$E$20</f>
        <v>90</v>
      </c>
      <c r="J119" s="21">
        <f>I119</f>
        <v>90</v>
      </c>
      <c r="K119" s="21">
        <f>J119</f>
        <v>90</v>
      </c>
      <c r="L119" s="21">
        <f>K119</f>
        <v>90</v>
      </c>
      <c r="O119" s="25"/>
      <c r="P119" s="29" t="s">
        <v>18</v>
      </c>
      <c r="Q119" s="21">
        <f>$E$20</f>
        <v>90</v>
      </c>
      <c r="T119" s="25"/>
      <c r="U119" s="29" t="s">
        <v>18</v>
      </c>
      <c r="V119" s="21">
        <f>$E$20</f>
        <v>90</v>
      </c>
      <c r="W119" s="21">
        <f>V119</f>
        <v>90</v>
      </c>
      <c r="X119" s="21">
        <f>W119</f>
        <v>90</v>
      </c>
      <c r="Y119" s="21">
        <f>X119</f>
        <v>90</v>
      </c>
      <c r="AB119" s="25"/>
      <c r="AC119" s="29" t="s">
        <v>18</v>
      </c>
      <c r="AD119" s="21">
        <f>$E$20</f>
        <v>90</v>
      </c>
      <c r="AG119" s="25"/>
      <c r="AH119" s="29" t="s">
        <v>18</v>
      </c>
      <c r="AI119" s="21">
        <f>$E$20</f>
        <v>90</v>
      </c>
      <c r="AJ119" s="21">
        <f>AI119</f>
        <v>90</v>
      </c>
      <c r="AK119" s="21">
        <f>AJ119</f>
        <v>90</v>
      </c>
      <c r="AL119" s="21">
        <f>AK119</f>
        <v>90</v>
      </c>
      <c r="AO119" s="25"/>
      <c r="AP119" s="29" t="s">
        <v>18</v>
      </c>
      <c r="AQ119" s="21">
        <f>$E$20</f>
        <v>90</v>
      </c>
      <c r="AT119" s="25"/>
      <c r="AU119" s="29" t="s">
        <v>18</v>
      </c>
      <c r="AV119" s="21">
        <f>$E$20</f>
        <v>90</v>
      </c>
      <c r="AW119" s="21">
        <f>AV119</f>
        <v>90</v>
      </c>
      <c r="AX119" s="21">
        <f>AW119</f>
        <v>90</v>
      </c>
      <c r="AY119" s="21">
        <f>AX119</f>
        <v>90</v>
      </c>
      <c r="BB119" s="25"/>
      <c r="BC119" s="29" t="s">
        <v>18</v>
      </c>
      <c r="BD119" s="21">
        <f>$E$20</f>
        <v>90</v>
      </c>
      <c r="BG119" s="25"/>
      <c r="BH119" s="29" t="s">
        <v>18</v>
      </c>
      <c r="BI119" s="21">
        <f>$E$20</f>
        <v>90</v>
      </c>
      <c r="BJ119" s="21">
        <f>BI119</f>
        <v>90</v>
      </c>
      <c r="BK119" s="21">
        <f>BJ119</f>
        <v>90</v>
      </c>
      <c r="BL119" s="21">
        <f>BK119</f>
        <v>90</v>
      </c>
    </row>
    <row r="120" spans="2:64" ht="12.75">
      <c r="B120" s="25"/>
      <c r="C120" s="30" t="s">
        <v>30</v>
      </c>
      <c r="D120" s="39">
        <f>D98</f>
        <v>36.9471563563366</v>
      </c>
      <c r="G120" s="25"/>
      <c r="H120" s="30" t="s">
        <v>30</v>
      </c>
      <c r="I120" s="39">
        <f>I98</f>
        <v>30.31902204794401</v>
      </c>
      <c r="J120" s="39">
        <f>J89</f>
        <v>34.9459287441274</v>
      </c>
      <c r="K120" s="39">
        <f>K89</f>
        <v>34.9991824217578</v>
      </c>
      <c r="L120" s="46" t="e">
        <f>L89</f>
        <v>#DIV/0!</v>
      </c>
      <c r="O120" s="25"/>
      <c r="P120" s="30" t="s">
        <v>30</v>
      </c>
      <c r="Q120" s="145">
        <f>Q91</f>
        <v>36.033286367305585</v>
      </c>
      <c r="T120" s="25"/>
      <c r="U120" s="30" t="s">
        <v>30</v>
      </c>
      <c r="V120" s="33">
        <f>V91</f>
        <v>29.662574188839212</v>
      </c>
      <c r="W120" s="39">
        <f>W91</f>
        <v>32.74640813141246</v>
      </c>
      <c r="X120" s="39">
        <f>X91</f>
        <v>34.76139444273444</v>
      </c>
      <c r="Y120" s="39" t="e">
        <f>Y91</f>
        <v>#DIV/0!</v>
      </c>
      <c r="AB120" s="25"/>
      <c r="AC120" s="30" t="s">
        <v>30</v>
      </c>
      <c r="AD120" s="23">
        <f>AD91</f>
        <v>37.16876697204957</v>
      </c>
      <c r="AG120" s="25"/>
      <c r="AH120" s="30" t="s">
        <v>30</v>
      </c>
      <c r="AI120" s="33">
        <f>AI91</f>
        <v>31.144399579340767</v>
      </c>
      <c r="AJ120" s="39">
        <f>AJ91</f>
        <v>32.37733572808956</v>
      </c>
      <c r="AK120" s="39">
        <f>AK91</f>
        <v>36.678434503376046</v>
      </c>
      <c r="AL120" s="39" t="e">
        <f>AL91</f>
        <v>#DIV/0!</v>
      </c>
      <c r="AO120" s="25"/>
      <c r="AP120" s="30" t="s">
        <v>30</v>
      </c>
      <c r="AQ120" s="23">
        <f>AQ91</f>
        <v>36.536925228691416</v>
      </c>
      <c r="AT120" s="25"/>
      <c r="AU120" s="30" t="s">
        <v>30</v>
      </c>
      <c r="AV120" s="33">
        <f>AV91</f>
        <v>30.181121053002027</v>
      </c>
      <c r="AW120" s="39">
        <f>AW91</f>
        <v>33.8900064349194</v>
      </c>
      <c r="AX120" s="39">
        <f>AX91</f>
        <v>35.013347260782</v>
      </c>
      <c r="AY120" s="39" t="e">
        <f>AY91</f>
        <v>#DIV/0!</v>
      </c>
      <c r="BB120" s="25"/>
      <c r="BC120" s="30" t="s">
        <v>30</v>
      </c>
      <c r="BD120" s="23">
        <f>BD91</f>
        <v>36.593771413389014</v>
      </c>
      <c r="BG120" s="25"/>
      <c r="BH120" s="30" t="s">
        <v>30</v>
      </c>
      <c r="BI120" s="33">
        <f>BI91</f>
        <v>30.210064511508435</v>
      </c>
      <c r="BJ120" s="39">
        <f>BJ91</f>
        <v>34.04451070959678</v>
      </c>
      <c r="BK120" s="39">
        <f>BK91</f>
        <v>35.00972028257318</v>
      </c>
      <c r="BL120" s="39" t="e">
        <f>BL91</f>
        <v>#DIV/0!</v>
      </c>
    </row>
    <row r="121" spans="2:64" ht="12.75">
      <c r="B121" s="25"/>
      <c r="C121" s="75" t="s">
        <v>116</v>
      </c>
      <c r="D121" s="42">
        <f>D99/D133</f>
        <v>0.11182455714303696</v>
      </c>
      <c r="G121" s="25"/>
      <c r="H121" s="47" t="s">
        <v>116</v>
      </c>
      <c r="I121" s="42">
        <f>I99/I133</f>
        <v>-0.568441498810433</v>
      </c>
      <c r="J121" s="42">
        <f>J99/J133</f>
        <v>-0.34454715523238094</v>
      </c>
      <c r="K121" s="42">
        <f>K99/K133</f>
        <v>0.24903034600603713</v>
      </c>
      <c r="L121" s="42" t="e">
        <f>L99/L133</f>
        <v>#DIV/0!</v>
      </c>
      <c r="O121" s="25"/>
      <c r="P121" s="144" t="s">
        <v>95</v>
      </c>
      <c r="Q121" s="52">
        <f>EXP(Q85/100)</f>
        <v>1.013332244580779</v>
      </c>
      <c r="T121" s="25"/>
      <c r="U121" s="10" t="s">
        <v>95</v>
      </c>
      <c r="V121" s="52">
        <f>EXP(V85/100)</f>
        <v>0.8964873882456864</v>
      </c>
      <c r="W121" s="52">
        <f>EXP(W85/100)</f>
        <v>0.93562036595674</v>
      </c>
      <c r="X121" s="52">
        <f>EXP(X85/100)</f>
        <v>1.048268322650633</v>
      </c>
      <c r="Y121" s="52" t="e">
        <f>EXP(Y85/100)</f>
        <v>#DIV/0!</v>
      </c>
      <c r="AB121" s="25"/>
      <c r="AC121" s="36" t="s">
        <v>91</v>
      </c>
      <c r="AD121" s="20">
        <f>PERCENTILE(allraw,(AD133+AD85)/100)-PERCENTILE(allraw,AD133/100)</f>
        <v>0.3000000000000007</v>
      </c>
      <c r="AG121" s="25"/>
      <c r="AH121" s="36" t="s">
        <v>91</v>
      </c>
      <c r="AI121" s="20">
        <f>PERCENTILE(allraw,(AI133+AI85)/100)-PERCENTILE(allraw,AI133/100)</f>
        <v>-0.9938655462184851</v>
      </c>
      <c r="AJ121" s="20">
        <f>PERCENTILE(allraw,(AJ133+AJ85)/100)-PERCENTILE(allraw,AJ133/100)</f>
        <v>-0.5999999999999996</v>
      </c>
      <c r="AK121" s="20">
        <f>PERCENTILE(allraw,(AK133+AK85)/100)-PERCENTILE(allraw,AK133/100)</f>
        <v>0.21761831048208968</v>
      </c>
      <c r="AL121" s="20" t="e">
        <f>PERCENTILE(allraw,(AL133+AL85)/100)-PERCENTILE(allraw,AL133/100)</f>
        <v>#DIV/0!</v>
      </c>
      <c r="AO121" s="25"/>
      <c r="AP121" s="36" t="s">
        <v>91</v>
      </c>
      <c r="AQ121" s="42">
        <f>(SQRT(AQ133)+AQ85)^2-AQ133</f>
        <v>0.2028653117992576</v>
      </c>
      <c r="AT121" s="25"/>
      <c r="AU121" s="36" t="s">
        <v>91</v>
      </c>
      <c r="AV121" s="20">
        <f>(SQRT(AV133)+AV85)^2-AV133</f>
        <v>-1.2247480736403364</v>
      </c>
      <c r="AW121" s="20">
        <f>(SQRT(AW133)+AW85)^2-AW133</f>
        <v>-0.7550328740592693</v>
      </c>
      <c r="AX121" s="20">
        <f>(SQRT(AX133)+AX85)^2-AX133</f>
        <v>0.5499937602288725</v>
      </c>
      <c r="AY121" s="20" t="e">
        <f>(SQRT(AY133)+AY85)^2-AY133</f>
        <v>#DIV/0!</v>
      </c>
      <c r="BB121" s="25"/>
      <c r="BC121" s="36" t="s">
        <v>91</v>
      </c>
      <c r="BD121" s="42">
        <f>100*SIN((ASIN(SQRT(BD133/100))+BD85))^2-BD133</f>
        <v>0.20770951196618803</v>
      </c>
      <c r="BG121" s="25"/>
      <c r="BH121" s="36" t="s">
        <v>91</v>
      </c>
      <c r="BI121" s="42">
        <f>100*SIN((ASIN(SQRT(BI133/100))+BI85))^2-BI133</f>
        <v>-1.2260292382426243</v>
      </c>
      <c r="BJ121" s="42">
        <f>100*SIN((ASIN(SQRT(BJ133/100))+BJ85))^2-BJ133</f>
        <v>-0.7536947367228901</v>
      </c>
      <c r="BK121" s="42">
        <f>100*SIN((ASIN(SQRT(BK133/100))+BK85))^2-BK133</f>
        <v>0.5491723846032013</v>
      </c>
      <c r="BL121" s="42" t="e">
        <f>100*SIN((ASIN(SQRT(BL133/100))+BL85))^2-BL133</f>
        <v>#DIV/0!</v>
      </c>
    </row>
    <row r="122" spans="2:64" s="90" customFormat="1" ht="12.75" customHeight="1">
      <c r="B122" s="228" t="str">
        <f>CONCATENATE(TEXT($E$20,"0"),"% confidence
limits")</f>
        <v>90% confidence
limits</v>
      </c>
      <c r="C122" s="26" t="s">
        <v>19</v>
      </c>
      <c r="D122" s="85">
        <f>D121-TINV((100-D119)/100,D120)*ABS(D121)/TINV(D118,D120)</f>
        <v>-0.428065243821269</v>
      </c>
      <c r="G122" s="228" t="str">
        <f>CONCATENATE(TEXT($E$20,"0"),"% confidence
limits")</f>
        <v>90% confidence
limits</v>
      </c>
      <c r="H122" s="51" t="s">
        <v>19</v>
      </c>
      <c r="I122" s="85">
        <f>I121-TINV((100-I119)/100,I120)*ABS(I121)/TINV(I118,I120)</f>
        <v>-0.799774664877323</v>
      </c>
      <c r="J122" s="85">
        <f>J121-TINV((100-J119)/100,J120)*ABS(J121)/TINV(J118,J120)</f>
        <v>-0.656632523872499</v>
      </c>
      <c r="K122" s="85">
        <f>K121-TINV((100-K119)/100,K120)*ABS(K121)/TINV(K118,K120)</f>
        <v>-0.06322478147101668</v>
      </c>
      <c r="L122" s="85" t="e">
        <f>L121-TINV((100-L119)/100,L120)*ABS(L121)/TINV(L118,L120)</f>
        <v>#DIV/0!</v>
      </c>
      <c r="O122" s="224" t="str">
        <f>CONCATENATE(TEXT($E$20,"0"),"% confidence
limits")</f>
        <v>90% confidence
limits</v>
      </c>
      <c r="P122" s="51" t="s">
        <v>19</v>
      </c>
      <c r="Q122" s="91">
        <f>EXP(LN(Q121)-TINV((100-Q119)/100,Q120)*ABS(LN(Q121))/TINV(Q118,Q120))</f>
        <v>0.9176015106870709</v>
      </c>
      <c r="T122" s="224" t="str">
        <f>CONCATENATE(TEXT($E$20,"0"),"% confidence
limits")</f>
        <v>90% confidence
limits</v>
      </c>
      <c r="U122" s="51" t="s">
        <v>19</v>
      </c>
      <c r="V122" s="91">
        <f>EXP(LN(V121)-TINV((100-V119)/100,V120)*ABS(LN(V121))/TINV(V118,V120))</f>
        <v>0.8584142958105334</v>
      </c>
      <c r="W122" s="91">
        <f>EXP(LN(W121)-TINV((100-W119)/100,W120)*ABS(LN(W121))/TINV(W118,W120))</f>
        <v>0.8835210287389961</v>
      </c>
      <c r="X122" s="91">
        <f>EXP(LN(X121)-TINV((100-X119)/100,X120)*ABS(LN(X121))/TINV(X118,X120))</f>
        <v>0.9914589165822418</v>
      </c>
      <c r="Y122" s="91" t="e">
        <f>EXP(LN(Y121)-TINV((100-Y119)/100,Y120)*ABS(LN(Y121))/TINV(Y118,Y120))</f>
        <v>#DIV/0!</v>
      </c>
      <c r="AB122" s="243" t="str">
        <f>CONCATENATE(TEXT($E$20,"0"),"% confidence
limits")</f>
        <v>90% confidence
limits</v>
      </c>
      <c r="AC122" s="26" t="s">
        <v>19</v>
      </c>
      <c r="AD122" s="88">
        <f>AD121-TINV((100-AD119)/100,AD120)*ABS(AD121)/TINV(AD118,AD120)</f>
        <v>-0.5067234930851539</v>
      </c>
      <c r="AE122"/>
      <c r="AF122"/>
      <c r="AG122" s="252" t="str">
        <f>CONCATENATE(TEXT($E$20,"0"),"% confidence
limits")</f>
        <v>90% confidence
limits</v>
      </c>
      <c r="AH122" s="26" t="s">
        <v>19</v>
      </c>
      <c r="AI122" s="88">
        <f>AI121-TINV((100-AI119)/100,AI120)*ABS(AI121)/TINV(AI118,AI120)</f>
        <v>-1.486926941982508</v>
      </c>
      <c r="AJ122" s="88">
        <f>AJ121-TINV((100-AJ119)/100,AJ120)*ABS(AJ121)/TINV(AJ118,AJ120)</f>
        <v>-1.1110303196597606</v>
      </c>
      <c r="AK122" s="88">
        <f>AK121-TINV((100-AK119)/100,AK120)*ABS(AK121)/TINV(AK118,AK120)</f>
        <v>-0.27224381462070896</v>
      </c>
      <c r="AL122" s="88" t="e">
        <f>AL121-TINV((100-AL119)/100,AL120)*ABS(AL121)/TINV(AL118,AL120)</f>
        <v>#DIV/0!</v>
      </c>
      <c r="AO122" s="243" t="str">
        <f>CONCATENATE(TEXT($E$20,"0"),"% confidence
limits")</f>
        <v>90% confidence
limits</v>
      </c>
      <c r="AP122" s="26" t="s">
        <v>19</v>
      </c>
      <c r="AQ122" s="88">
        <f>AQ121-TINV((100-AQ119)/100,AQ120)*ABS(AQ121)/TINV(AQ118,AQ120)</f>
        <v>-0.9722376961930079</v>
      </c>
      <c r="AR122"/>
      <c r="AS122"/>
      <c r="AT122" s="252" t="str">
        <f>CONCATENATE(TEXT($E$20,"0"),"% confidence
limits")</f>
        <v>90% confidence
limits</v>
      </c>
      <c r="AU122" s="26" t="s">
        <v>19</v>
      </c>
      <c r="AV122" s="88">
        <f>AV121-TINV((100-AV119)/100,AV120)*ABS(AV121)/TINV(AV118,AV120)</f>
        <v>-1.7143569994771686</v>
      </c>
      <c r="AW122" s="88">
        <f>AW121-TINV((100-AW119)/100,AW120)*ABS(AW121)/TINV(AW118,AW120)</f>
        <v>-1.4186493877162842</v>
      </c>
      <c r="AX122" s="88">
        <f>AX121-TINV((100-AX119)/100,AX120)*ABS(AX121)/TINV(AX118,AX120)</f>
        <v>-0.11995985393046282</v>
      </c>
      <c r="AY122" s="88" t="e">
        <f>AY121-TINV((100-AY119)/100,AY120)*ABS(AY121)/TINV(AY118,AY120)</f>
        <v>#DIV/0!</v>
      </c>
      <c r="BB122" s="243" t="str">
        <f>CONCATENATE(TEXT($E$20,"0"),"% confidence
limits")</f>
        <v>90% confidence
limits</v>
      </c>
      <c r="BC122" s="26" t="s">
        <v>19</v>
      </c>
      <c r="BD122" s="88">
        <f>BD121-TINV((100-BD119)/100,BD120)*ABS(BD121)/TINV(BD118,BD120)</f>
        <v>-0.9663307118718054</v>
      </c>
      <c r="BE122"/>
      <c r="BF122"/>
      <c r="BG122" s="252" t="str">
        <f>CONCATENATE(TEXT($E$20,"0"),"% confidence
limits")</f>
        <v>90% confidence
limits</v>
      </c>
      <c r="BH122" s="26" t="s">
        <v>19</v>
      </c>
      <c r="BI122" s="88">
        <f>BI121-TINV((100-BI119)/100,BI120)*ABS(BI121)/TINV(BI118,BI120)</f>
        <v>-1.716553828786532</v>
      </c>
      <c r="BJ122" s="88">
        <f>BJ121-TINV((100-BJ119)/100,BJ120)*ABS(BJ121)/TINV(BJ118,BJ120)</f>
        <v>-1.4187453857821355</v>
      </c>
      <c r="BK122" s="88">
        <f>BK121-TINV((100-BK119)/100,BK120)*ABS(BK121)/TINV(BK118,BK120)</f>
        <v>-0.12129743357695544</v>
      </c>
      <c r="BL122" s="88" t="e">
        <f>BL121-TINV((100-BL119)/100,BL120)*ABS(BL121)/TINV(BL118,BL120)</f>
        <v>#DIV/0!</v>
      </c>
    </row>
    <row r="123" spans="2:64" s="90" customFormat="1" ht="24">
      <c r="B123" s="229"/>
      <c r="C123" s="15" t="s">
        <v>20</v>
      </c>
      <c r="D123" s="86">
        <f>D121+TINV((100-D119)/100,D120)*ABS(D121)/TINV(D118,D120)</f>
        <v>0.6517143581073429</v>
      </c>
      <c r="G123" s="229"/>
      <c r="H123" s="15" t="s">
        <v>20</v>
      </c>
      <c r="I123" s="86">
        <f>I121+TINV((100-I119)/100,I120)*ABS(I121)/TINV(I118,I120)</f>
        <v>-0.33710833274354307</v>
      </c>
      <c r="J123" s="86">
        <f>J121+TINV((100-J119)/100,J120)*ABS(J121)/TINV(J118,J120)</f>
        <v>-0.03246178659226284</v>
      </c>
      <c r="K123" s="86">
        <f>K121+TINV((100-K119)/100,K120)*ABS(K121)/TINV(K118,K120)</f>
        <v>0.561285473483091</v>
      </c>
      <c r="L123" s="86" t="e">
        <f>L121+TINV((100-L119)/100,L120)*ABS(L121)/TINV(L118,L120)</f>
        <v>#DIV/0!</v>
      </c>
      <c r="O123" s="225"/>
      <c r="P123" s="15" t="s">
        <v>20</v>
      </c>
      <c r="Q123" s="92">
        <f>EXP(LN(Q121)+TINV((100-Q119)/100,Q120)*ABS(LN(Q121))/TINV(Q118,Q120))</f>
        <v>1.119050291382207</v>
      </c>
      <c r="T123" s="225"/>
      <c r="U123" s="15" t="s">
        <v>20</v>
      </c>
      <c r="V123" s="92">
        <f>EXP(LN(V121)+TINV((100-V119)/100,V120)*ABS(LN(V121))/TINV(V118,V120))</f>
        <v>0.9362491295938995</v>
      </c>
      <c r="W123" s="92">
        <f>EXP(LN(W121)+TINV((100-W119)/100,W120)*ABS(LN(W121))/TINV(W118,W120))</f>
        <v>0.9907918891782537</v>
      </c>
      <c r="X123" s="92">
        <f>EXP(LN(X121)+TINV((100-X119)/100,X120)*ABS(LN(X121))/TINV(X118,X120))</f>
        <v>1.1083328395096645</v>
      </c>
      <c r="Y123" s="92" t="e">
        <f>EXP(LN(Y121)+TINV((100-Y119)/100,Y120)*ABS(LN(Y121))/TINV(Y118,Y120))</f>
        <v>#DIV/0!</v>
      </c>
      <c r="AB123" s="244"/>
      <c r="AC123" s="15" t="s">
        <v>20</v>
      </c>
      <c r="AD123" s="93">
        <f>AD121+TINV((100-AD119)/100,AD120)*ABS(AD121)/TINV(AD118,AD120)</f>
        <v>1.1067234930851553</v>
      </c>
      <c r="AE123"/>
      <c r="AF123"/>
      <c r="AG123" s="229"/>
      <c r="AH123" s="15" t="s">
        <v>20</v>
      </c>
      <c r="AI123" s="93">
        <f>AI121+TINV((100-AI119)/100,AI120)*ABS(AI121)/TINV(AI118,AI120)</f>
        <v>-0.5008041504544624</v>
      </c>
      <c r="AJ123" s="93">
        <f>AJ121+TINV((100-AJ119)/100,AJ120)*ABS(AJ121)/TINV(AJ118,AJ120)</f>
        <v>-0.08896968034023867</v>
      </c>
      <c r="AK123" s="93">
        <f>AK121+TINV((100-AK119)/100,AK120)*ABS(AK121)/TINV(AK118,AK120)</f>
        <v>0.7074804355848883</v>
      </c>
      <c r="AL123" s="93" t="e">
        <f>AL121+TINV((100-AL119)/100,AL120)*ABS(AL121)/TINV(AL118,AL120)</f>
        <v>#DIV/0!</v>
      </c>
      <c r="AO123" s="244"/>
      <c r="AP123" s="15" t="s">
        <v>20</v>
      </c>
      <c r="AQ123" s="93">
        <f>AQ121+TINV((100-AQ119)/100,AQ120)*ABS(AQ121)/TINV(AQ118,AQ120)</f>
        <v>1.3779683197915231</v>
      </c>
      <c r="AR123"/>
      <c r="AS123"/>
      <c r="AT123" s="229"/>
      <c r="AU123" s="15" t="s">
        <v>20</v>
      </c>
      <c r="AV123" s="93">
        <f>AV121+TINV((100-AV119)/100,AV120)*ABS(AV121)/TINV(AV118,AV120)</f>
        <v>-0.7351391478035043</v>
      </c>
      <c r="AW123" s="93">
        <f>AW121+TINV((100-AW119)/100,AW120)*ABS(AW121)/TINV(AW118,AW120)</f>
        <v>-0.09141636040225432</v>
      </c>
      <c r="AX123" s="93">
        <f>AX121+TINV((100-AX119)/100,AX120)*ABS(AX121)/TINV(AX118,AX120)</f>
        <v>1.2199473743882079</v>
      </c>
      <c r="AY123" s="93" t="e">
        <f>AY121+TINV((100-AY119)/100,AY120)*ABS(AY121)/TINV(AY118,AY120)</f>
        <v>#DIV/0!</v>
      </c>
      <c r="BB123" s="244"/>
      <c r="BC123" s="15" t="s">
        <v>20</v>
      </c>
      <c r="BD123" s="93">
        <f>BD121+TINV((100-BD119)/100,BD120)*ABS(BD121)/TINV(BD118,BD120)</f>
        <v>1.3817497358041815</v>
      </c>
      <c r="BE123"/>
      <c r="BF123"/>
      <c r="BG123" s="229"/>
      <c r="BH123" s="15" t="s">
        <v>20</v>
      </c>
      <c r="BI123" s="93">
        <f>BI121+TINV((100-BI119)/100,BI120)*ABS(BI121)/TINV(BI118,BI120)</f>
        <v>-0.7355046476987165</v>
      </c>
      <c r="BJ123" s="93">
        <f>BJ121+TINV((100-BJ119)/100,BJ120)*ABS(BJ121)/TINV(BJ118,BJ120)</f>
        <v>-0.08864408766364473</v>
      </c>
      <c r="BK123" s="93">
        <f>BK121+TINV((100-BK119)/100,BK120)*ABS(BK121)/TINV(BK118,BK120)</f>
        <v>1.219642202783358</v>
      </c>
      <c r="BL123" s="93" t="e">
        <f>BL121+TINV((100-BL119)/100,BL120)*ABS(BL121)/TINV(BL118,BL120)</f>
        <v>#DIV/0!</v>
      </c>
    </row>
    <row r="124" spans="2:64" s="90" customFormat="1" ht="15">
      <c r="B124" s="230"/>
      <c r="C124" s="31" t="s">
        <v>21</v>
      </c>
      <c r="D124" s="94">
        <f>(D123-D122)/2</f>
        <v>0.5398898009643059</v>
      </c>
      <c r="G124" s="230"/>
      <c r="H124" s="16" t="s">
        <v>21</v>
      </c>
      <c r="I124" s="94">
        <f>(I123-I122)/2</f>
        <v>0.23133316606688994</v>
      </c>
      <c r="J124" s="94">
        <f>(J123-J122)/2</f>
        <v>0.3120853686401181</v>
      </c>
      <c r="K124" s="94">
        <f>(K123-K122)/2</f>
        <v>0.31225512747705386</v>
      </c>
      <c r="L124" s="94" t="e">
        <f>(L123-L122)/2</f>
        <v>#DIV/0!</v>
      </c>
      <c r="O124" s="223"/>
      <c r="P124" s="16" t="s">
        <v>43</v>
      </c>
      <c r="Q124" s="95">
        <f>SQRT(Q123/Q122)</f>
        <v>1.1043271319617032</v>
      </c>
      <c r="T124" s="223"/>
      <c r="U124" s="16" t="s">
        <v>43</v>
      </c>
      <c r="V124" s="95">
        <f>SQRT(V123/V122)</f>
        <v>1.0443528173062444</v>
      </c>
      <c r="W124" s="95">
        <f>SQRT(W123/W122)</f>
        <v>1.0589678519503973</v>
      </c>
      <c r="X124" s="95">
        <f>SQRT(X123/X122)</f>
        <v>1.0572987998980579</v>
      </c>
      <c r="Y124" s="95" t="e">
        <f>SQRT(Y123/Y122)</f>
        <v>#DIV/0!</v>
      </c>
      <c r="AB124" s="245"/>
      <c r="AC124" s="16" t="s">
        <v>21</v>
      </c>
      <c r="AD124" s="96">
        <f>(AD123-AD122)/2</f>
        <v>0.8067234930851546</v>
      </c>
      <c r="AE124"/>
      <c r="AF124"/>
      <c r="AG124" s="230"/>
      <c r="AH124" s="16" t="s">
        <v>21</v>
      </c>
      <c r="AI124" s="96">
        <f>(AI123-AI122)/2</f>
        <v>0.4930613957640228</v>
      </c>
      <c r="AJ124" s="96">
        <f>(AJ123-AJ122)/2</f>
        <v>0.511030319659761</v>
      </c>
      <c r="AK124" s="96">
        <f>(AK123-AK122)/2</f>
        <v>0.4898621251027986</v>
      </c>
      <c r="AL124" s="96" t="e">
        <f>(AL123-AL122)/2</f>
        <v>#DIV/0!</v>
      </c>
      <c r="AO124" s="245"/>
      <c r="AP124" s="16" t="s">
        <v>21</v>
      </c>
      <c r="AQ124" s="96">
        <f>(AQ123-AQ122)/2</f>
        <v>1.1751030079922655</v>
      </c>
      <c r="AR124"/>
      <c r="AS124"/>
      <c r="AT124" s="230"/>
      <c r="AU124" s="16" t="s">
        <v>21</v>
      </c>
      <c r="AV124" s="96">
        <f>(AV123-AV122)/2</f>
        <v>0.48960892583683213</v>
      </c>
      <c r="AW124" s="96">
        <f>(AW123-AW122)/2</f>
        <v>0.6636165136570149</v>
      </c>
      <c r="AX124" s="96">
        <f>(AX123-AX122)/2</f>
        <v>0.6699536141593354</v>
      </c>
      <c r="AY124" s="96" t="e">
        <f>(AY123-AY122)/2</f>
        <v>#DIV/0!</v>
      </c>
      <c r="BB124" s="245"/>
      <c r="BC124" s="16" t="s">
        <v>21</v>
      </c>
      <c r="BD124" s="96">
        <f>(BD123-BD122)/2</f>
        <v>1.1740402238379934</v>
      </c>
      <c r="BE124"/>
      <c r="BF124"/>
      <c r="BG124" s="230"/>
      <c r="BH124" s="16" t="s">
        <v>21</v>
      </c>
      <c r="BI124" s="96">
        <f>(BI123-BI122)/2</f>
        <v>0.4905245905439078</v>
      </c>
      <c r="BJ124" s="96">
        <f>(BJ123-BJ122)/2</f>
        <v>0.6650506490592454</v>
      </c>
      <c r="BK124" s="96">
        <f>(BK123-BK122)/2</f>
        <v>0.6704698181801567</v>
      </c>
      <c r="BL124" s="96" t="e">
        <f>(BL123-BL122)/2</f>
        <v>#DIV/0!</v>
      </c>
    </row>
    <row r="125" spans="2:64" s="90" customFormat="1" ht="12.75" customHeight="1">
      <c r="B125" s="263" t="s">
        <v>98</v>
      </c>
      <c r="C125" s="97" t="s">
        <v>24</v>
      </c>
      <c r="D125" s="55">
        <f>I125</f>
        <v>0.2</v>
      </c>
      <c r="G125" s="231" t="s">
        <v>22</v>
      </c>
      <c r="H125" s="97" t="s">
        <v>24</v>
      </c>
      <c r="I125" s="164">
        <v>0.2</v>
      </c>
      <c r="J125" s="55">
        <f>I125</f>
        <v>0.2</v>
      </c>
      <c r="K125" s="55">
        <f>J125</f>
        <v>0.2</v>
      </c>
      <c r="L125" s="55">
        <f>K125</f>
        <v>0.2</v>
      </c>
      <c r="O125" s="263" t="s">
        <v>98</v>
      </c>
      <c r="P125" s="97" t="s">
        <v>24</v>
      </c>
      <c r="Q125" s="54">
        <f>V125</f>
        <v>1.1</v>
      </c>
      <c r="T125" s="231" t="s">
        <v>22</v>
      </c>
      <c r="U125" s="97" t="s">
        <v>24</v>
      </c>
      <c r="V125" s="162">
        <v>1.1</v>
      </c>
      <c r="W125" s="54">
        <f aca="true" t="shared" si="92" ref="W125:Y126">V125</f>
        <v>1.1</v>
      </c>
      <c r="X125" s="54">
        <f t="shared" si="92"/>
        <v>1.1</v>
      </c>
      <c r="Y125" s="54">
        <f t="shared" si="92"/>
        <v>1.1</v>
      </c>
      <c r="AB125" s="263" t="s">
        <v>98</v>
      </c>
      <c r="AC125" s="18" t="s">
        <v>24</v>
      </c>
      <c r="AD125" s="54" t="str">
        <f>AI125</f>
        <v>1</v>
      </c>
      <c r="AE125"/>
      <c r="AF125"/>
      <c r="AG125" s="231" t="s">
        <v>22</v>
      </c>
      <c r="AH125" s="97" t="s">
        <v>24</v>
      </c>
      <c r="AI125" s="160" t="s">
        <v>112</v>
      </c>
      <c r="AJ125" s="55" t="str">
        <f>AI125</f>
        <v>1</v>
      </c>
      <c r="AK125" s="55" t="str">
        <f>AJ125</f>
        <v>1</v>
      </c>
      <c r="AL125" s="55" t="str">
        <f>AK125</f>
        <v>1</v>
      </c>
      <c r="AO125" s="263" t="s">
        <v>98</v>
      </c>
      <c r="AP125" s="18" t="s">
        <v>24</v>
      </c>
      <c r="AQ125" s="54" t="str">
        <f>AV125</f>
        <v>1</v>
      </c>
      <c r="AR125"/>
      <c r="AS125"/>
      <c r="AT125" s="231" t="s">
        <v>22</v>
      </c>
      <c r="AU125" s="97" t="s">
        <v>24</v>
      </c>
      <c r="AV125" s="160" t="s">
        <v>112</v>
      </c>
      <c r="AW125" s="55" t="str">
        <f>AV125</f>
        <v>1</v>
      </c>
      <c r="AX125" s="55" t="str">
        <f>AW125</f>
        <v>1</v>
      </c>
      <c r="AY125" s="55" t="str">
        <f>AX125</f>
        <v>1</v>
      </c>
      <c r="BB125" s="263" t="s">
        <v>98</v>
      </c>
      <c r="BC125" s="18" t="s">
        <v>24</v>
      </c>
      <c r="BD125" s="54" t="str">
        <f>BI125</f>
        <v>1</v>
      </c>
      <c r="BE125"/>
      <c r="BF125"/>
      <c r="BG125" s="231" t="s">
        <v>22</v>
      </c>
      <c r="BH125" s="97" t="s">
        <v>24</v>
      </c>
      <c r="BI125" s="160" t="s">
        <v>112</v>
      </c>
      <c r="BJ125" s="55" t="str">
        <f>BI125</f>
        <v>1</v>
      </c>
      <c r="BK125" s="55" t="str">
        <f>BJ125</f>
        <v>1</v>
      </c>
      <c r="BL125" s="55" t="str">
        <f>BK125</f>
        <v>1</v>
      </c>
    </row>
    <row r="126" spans="2:64" s="90" customFormat="1" ht="12.75">
      <c r="B126" s="264"/>
      <c r="C126" s="98" t="s">
        <v>25</v>
      </c>
      <c r="D126" s="57">
        <f>-D125</f>
        <v>-0.2</v>
      </c>
      <c r="G126" s="232"/>
      <c r="H126" s="98" t="s">
        <v>25</v>
      </c>
      <c r="I126" s="166">
        <f>-I125</f>
        <v>-0.2</v>
      </c>
      <c r="J126" s="57">
        <f>-J125</f>
        <v>-0.2</v>
      </c>
      <c r="K126" s="57">
        <f>-K125</f>
        <v>-0.2</v>
      </c>
      <c r="L126" s="57">
        <f>-L125</f>
        <v>-0.2</v>
      </c>
      <c r="O126" s="264"/>
      <c r="P126" s="98" t="s">
        <v>25</v>
      </c>
      <c r="Q126" s="56">
        <f>1/Q125</f>
        <v>0.9090909090909091</v>
      </c>
      <c r="T126" s="232"/>
      <c r="U126" s="98" t="s">
        <v>25</v>
      </c>
      <c r="V126" s="163">
        <f>1/V125</f>
        <v>0.9090909090909091</v>
      </c>
      <c r="W126" s="56">
        <f t="shared" si="92"/>
        <v>0.9090909090909091</v>
      </c>
      <c r="X126" s="56">
        <f t="shared" si="92"/>
        <v>0.9090909090909091</v>
      </c>
      <c r="Y126" s="56">
        <f t="shared" si="92"/>
        <v>0.9090909090909091</v>
      </c>
      <c r="AB126" s="264"/>
      <c r="AC126" s="17" t="s">
        <v>25</v>
      </c>
      <c r="AD126" s="159">
        <f>-AD125</f>
        <v>-1</v>
      </c>
      <c r="AE126"/>
      <c r="AF126"/>
      <c r="AG126" s="232"/>
      <c r="AH126" s="98" t="s">
        <v>25</v>
      </c>
      <c r="AI126" s="161">
        <f>-AI125</f>
        <v>-1</v>
      </c>
      <c r="AJ126" s="57">
        <f>-AJ125</f>
        <v>-1</v>
      </c>
      <c r="AK126" s="57">
        <f>-AK125</f>
        <v>-1</v>
      </c>
      <c r="AL126" s="57">
        <f>-AL125</f>
        <v>-1</v>
      </c>
      <c r="AO126" s="264"/>
      <c r="AP126" s="17" t="s">
        <v>25</v>
      </c>
      <c r="AQ126" s="159">
        <f>-AQ125</f>
        <v>-1</v>
      </c>
      <c r="AR126"/>
      <c r="AS126"/>
      <c r="AT126" s="232"/>
      <c r="AU126" s="98" t="s">
        <v>25</v>
      </c>
      <c r="AV126" s="161">
        <f>-AV125</f>
        <v>-1</v>
      </c>
      <c r="AW126" s="57">
        <f>-AW125</f>
        <v>-1</v>
      </c>
      <c r="AX126" s="57">
        <f>-AX125</f>
        <v>-1</v>
      </c>
      <c r="AY126" s="57">
        <f>-AY125</f>
        <v>-1</v>
      </c>
      <c r="BB126" s="264"/>
      <c r="BC126" s="17" t="s">
        <v>25</v>
      </c>
      <c r="BD126" s="159">
        <f>-BD125</f>
        <v>-1</v>
      </c>
      <c r="BE126"/>
      <c r="BF126"/>
      <c r="BG126" s="232"/>
      <c r="BH126" s="98" t="s">
        <v>25</v>
      </c>
      <c r="BI126" s="161">
        <f>-BI125</f>
        <v>-1</v>
      </c>
      <c r="BJ126" s="57">
        <f>-BJ125</f>
        <v>-1</v>
      </c>
      <c r="BK126" s="57">
        <f>-BK125</f>
        <v>-1</v>
      </c>
      <c r="BL126" s="57">
        <f>-BL125</f>
        <v>-1</v>
      </c>
    </row>
    <row r="127" spans="2:64" s="90" customFormat="1" ht="12.75" customHeight="1">
      <c r="B127" s="233" t="s">
        <v>26</v>
      </c>
      <c r="C127" s="236" t="s">
        <v>24</v>
      </c>
      <c r="D127" s="99">
        <f>IF(ISERROR(TDIST((D125-D121)/ABS(D121)*TINV(D118,D120),D120,1)),1-TDIST((D121-D125)/ABS(D121)*TINV(D118,D120),D120,1),TDIST((D125-D121)/ABS(D121)*TINV(D118,D120),D120,1))*100</f>
        <v>39.21642378968633</v>
      </c>
      <c r="G127" s="233" t="s">
        <v>26</v>
      </c>
      <c r="H127" s="236" t="s">
        <v>24</v>
      </c>
      <c r="I127" s="99">
        <f>IF(ISERROR(TDIST((I125-I121)/ABS(I121)*TINV(I118,I120),I120,1)),1-TDIST((I121-I125)/ABS(I121)*TINV(I118,I120),I120,1),TDIST((I125-I121)/ABS(I121)*TINV(I118,I120),I120,1))*100</f>
        <v>0.00019250590759081662</v>
      </c>
      <c r="J127" s="99">
        <f>IF(ISERROR(TDIST((J125-J121)/ABS(J121)*TINV(J118,J120),J120,1)),1-TDIST((J121-J125)/ABS(J121)*TINV(J118,J120),J120,1),TDIST((J125-J121)/ABS(J121)*TINV(J118,J120),J120,1))*100</f>
        <v>0.28550712641346576</v>
      </c>
      <c r="K127" s="99">
        <f>IF(ISERROR(TDIST((K125-K121)/ABS(K121)*TINV(K118,K120),K120,1)),1-TDIST((K121-K125)/ABS(K121)*TINV(K118,K120),K120,1),TDIST((K125-K121)/ABS(K121)*TINV(K118,K120),K120,1))*100</f>
        <v>60.38896791926418</v>
      </c>
      <c r="L127" s="99" t="e">
        <f>IF(ISERROR(TDIST((L125-L121)/ABS(L121)*TINV(L118,L120),L120,1)),1-TDIST((L121-L125)/ABS(L121)*TINV(L118,L120),L120,1),TDIST((L125-L121)/ABS(L121)*TINV(L118,L120),L120,1))*100</f>
        <v>#DIV/0!</v>
      </c>
      <c r="O127" s="233" t="s">
        <v>26</v>
      </c>
      <c r="P127" s="236" t="s">
        <v>24</v>
      </c>
      <c r="Q127" s="99">
        <f>IF(ISERROR(TDIST((LN(Q125)-LN(Q121))/ABS(LN(Q121))*TINV(Q118,Q120),Q120,1)),1-TDIST((LN(Q121)-LN(Q125))/ABS(LN(Q121))*TINV(Q118,Q120),Q120,1),TDIST((LN(Q125)-LN(Q121))/ABS(LN(Q121))*TINV(Q118,Q120),Q120,1))*100</f>
        <v>8.560508528548215</v>
      </c>
      <c r="T127" s="233" t="s">
        <v>26</v>
      </c>
      <c r="U127" s="236" t="s">
        <v>24</v>
      </c>
      <c r="V127" s="99">
        <f>IF(ISERROR(TDIST((LN(V125)-LN(V121))/ABS(LN(V121))*TINV(V118,V120),V120,1)),1-TDIST((LN(V121)-LN(V125))/ABS(LN(V121))*TINV(V118,V120),V120,1),TDIST((LN(V125)-LN(V121))/ABS(LN(V121))*TINV(V118,V120),V120,1))*100</f>
        <v>3.907014214164397E-07</v>
      </c>
      <c r="W127" s="99">
        <f>IF(ISERROR(TDIST((LN(W125)-LN(W121))/ABS(LN(W121))*TINV(W118,W120),W120,1)),1-TDIST((LN(W121)-LN(W125))/ABS(LN(W121))*TINV(W118,W120),W120,1),TDIST((LN(W125)-LN(W121))/ABS(LN(W121))*TINV(W118,W120),W120,1))*100</f>
        <v>0.0018532716948423972</v>
      </c>
      <c r="X127" s="99">
        <f>IF(ISERROR(TDIST((LN(X125)-LN(X121))/ABS(LN(X121))*TINV(X118,X120),X120,1)),1-TDIST((LN(X121)-LN(X125))/ABS(LN(X121))*TINV(X118,X120),X120,1),TDIST((LN(X125)-LN(X121))/ABS(LN(X121))*TINV(X118,X120),X120,1))*100</f>
        <v>7.647634691894373</v>
      </c>
      <c r="Y127" s="99" t="e">
        <f>IF(ISERROR(TDIST((LN(Y125)-LN(Y121))/ABS(LN(Y121))*TINV(Y118,Y120),Y120,1)),1-TDIST((LN(Y121)-LN(Y125))/ABS(LN(Y121))*TINV(Y118,Y120),Y120,1),TDIST((LN(Y125)-LN(Y121))/ABS(LN(Y121))*TINV(Y118,Y120),Y120,1))*100</f>
        <v>#DIV/0!</v>
      </c>
      <c r="AB127" s="233" t="s">
        <v>26</v>
      </c>
      <c r="AC127" s="236" t="s">
        <v>24</v>
      </c>
      <c r="AD127" s="99">
        <f>IF(ISERROR(TDIST((AD125-AD121)/ABS(AD121)*TINV(AD118,AD120),AD120,1)),1-TDIST((AD121-AD125)/ABS(AD121)*TINV(AD118,AD120),AD120,1),TDIST((AD125-AD121)/ABS(AD121)*TINV(AD118,AD120),AD120,1))*100</f>
        <v>7.583247280254652</v>
      </c>
      <c r="AE127"/>
      <c r="AF127"/>
      <c r="AG127" s="233" t="s">
        <v>26</v>
      </c>
      <c r="AH127" s="236" t="s">
        <v>24</v>
      </c>
      <c r="AI127" s="99">
        <f>IF(ISERROR(TDIST((AI125-AI121)/ABS(AI121)*TINV(AI118,AI120),AI120,1)),1-TDIST((AI121-AI125)/ABS(AI121)*TINV(AI118,AI120),AI120,1),TDIST((AI125-AI121)/ABS(AI121)*TINV(AI118,AI120),AI120,1))*100</f>
        <v>5.5097793574976705E-06</v>
      </c>
      <c r="AJ127" s="99">
        <f>IF(ISERROR(TDIST((AJ125-AJ121)/ABS(AJ121)*TINV(AJ118,AJ120),AJ120,1)),1-TDIST((AJ121-AJ125)/ABS(AJ121)*TINV(AJ118,AJ120),AJ120,1),TDIST((AJ125-AJ121)/ABS(AJ121)*TINV(AJ118,AJ120),AJ120,1))*100</f>
        <v>0.000410886741572381</v>
      </c>
      <c r="AK127" s="99">
        <f>IF(ISERROR(TDIST((AK125-AK121)/ABS(AK121)*TINV(AK118,AK120),AK120,1)),1-TDIST((AK121-AK125)/ABS(AK121)*TINV(AK118,AK120),AK120,1),TDIST((AK125-AK121)/ABS(AK121)*TINV(AK118,AK120),AK120,1))*100</f>
        <v>0.5295522380002974</v>
      </c>
      <c r="AL127" s="99" t="e">
        <f>IF(ISERROR(TDIST((AL125-AL121)/ABS(AL121)*TINV(AL118,AL120),AL120,1)),1-TDIST((AL121-AL125)/ABS(AL121)*TINV(AL118,AL120),AL120,1),TDIST((AL125-AL121)/ABS(AL121)*TINV(AL118,AL120),AL120,1))*100</f>
        <v>#DIV/0!</v>
      </c>
      <c r="AO127" s="233" t="s">
        <v>26</v>
      </c>
      <c r="AP127" s="236" t="s">
        <v>24</v>
      </c>
      <c r="AQ127" s="99">
        <f>IF(ISERROR(TDIST((AQ125-AQ121)/ABS(AQ121)*TINV(AQ118,AQ120),AQ120,1)),1-TDIST((AQ121-AQ125)/ABS(AQ121)*TINV(AQ118,AQ120),AQ120,1),TDIST((AQ125-AQ121)/ABS(AQ121)*TINV(AQ118,AQ120),AQ120,1))*100</f>
        <v>12.982881018970277</v>
      </c>
      <c r="AR127"/>
      <c r="AS127"/>
      <c r="AT127" s="233" t="s">
        <v>26</v>
      </c>
      <c r="AU127" s="236" t="s">
        <v>24</v>
      </c>
      <c r="AV127" s="99">
        <f>IF(ISERROR(TDIST((AV125-AV121)/ABS(AV121)*TINV(AV118,AV120),AV120,1)),1-TDIST((AV121-AV125)/ABS(AV121)*TINV(AV118,AV120),AV120,1),TDIST((AV125-AV121)/ABS(AV121)*TINV(AV118,AV120),AV120,1))*100</f>
        <v>6.63496872038809E-07</v>
      </c>
      <c r="AW127" s="99">
        <f>IF(ISERROR(TDIST((AW125-AW121)/ABS(AW121)*TINV(AW118,AW120),AW120,1)),1-TDIST((AW121-AW125)/ABS(AW121)*TINV(AW118,AW120),AW120,1),TDIST((AW125-AW121)/ABS(AW121)*TINV(AW118,AW120),AW120,1))*100</f>
        <v>0.004283833744281979</v>
      </c>
      <c r="AX127" s="99">
        <f>IF(ISERROR(TDIST((AX125-AX121)/ABS(AX121)*TINV(AX118,AX120),AX120,1)),1-TDIST((AX121-AX125)/ABS(AX121)*TINV(AX118,AX120),AX120,1),TDIST((AX125-AX121)/ABS(AX121)*TINV(AX118,AX120),AX120,1))*100</f>
        <v>13.20686973836156</v>
      </c>
      <c r="AY127" s="99" t="e">
        <f>IF(ISERROR(TDIST((AY125-AY121)/ABS(AY121)*TINV(AY118,AY120),AY120,1)),1-TDIST((AY121-AY125)/ABS(AY121)*TINV(AY118,AY120),AY120,1),TDIST((AY125-AY121)/ABS(AY121)*TINV(AY118,AY120),AY120,1))*100</f>
        <v>#DIV/0!</v>
      </c>
      <c r="BB127" s="233" t="s">
        <v>26</v>
      </c>
      <c r="BC127" s="236" t="s">
        <v>24</v>
      </c>
      <c r="BD127" s="99">
        <f>IF(ISERROR(TDIST((BD125-BD121)/ABS(BD121)*TINV(BD118,BD120),BD120,1)),1-TDIST((BD121-BD125)/ABS(BD121)*TINV(BD118,BD120),BD120,1),TDIST((BD125-BD121)/ABS(BD121)*TINV(BD118,BD120),BD120,1))*100</f>
        <v>13.104455116649627</v>
      </c>
      <c r="BE127"/>
      <c r="BF127"/>
      <c r="BG127" s="233" t="s">
        <v>26</v>
      </c>
      <c r="BH127" s="236" t="s">
        <v>24</v>
      </c>
      <c r="BI127" s="99">
        <f>IF(ISERROR(TDIST((BI125-BI121)/ABS(BI121)*TINV(BI118,BI120),BI120,1)),1-TDIST((BI121-BI125)/ABS(BI121)*TINV(BI118,BI120),BI120,1),TDIST((BI125-BI121)/ABS(BI121)*TINV(BI118,BI120),BI120,1))*100</f>
        <v>6.810857700969823E-07</v>
      </c>
      <c r="BJ127" s="99">
        <f>IF(ISERROR(TDIST((BJ125-BJ121)/ABS(BJ121)*TINV(BJ118,BJ120),BJ120,1)),1-TDIST((BJ121-BJ125)/ABS(BJ121)*TINV(BJ118,BJ120),BJ120,1),TDIST((BJ125-BJ121)/ABS(BJ121)*TINV(BJ118,BJ120),BJ120,1))*100</f>
        <v>0.00427018652188316</v>
      </c>
      <c r="BK127" s="99">
        <f>IF(ISERROR(TDIST((BK125-BK121)/ABS(BK121)*TINV(BK118,BK120),BK120,1)),1-TDIST((BK121-BK125)/ABS(BK121)*TINV(BK118,BK120),BK120,1),TDIST((BK125-BK121)/ABS(BK121)*TINV(BK118,BK120),BK120,1))*100</f>
        <v>13.182165029610399</v>
      </c>
      <c r="BL127" s="99" t="e">
        <f>IF(ISERROR(TDIST((BL125-BL121)/ABS(BL121)*TINV(BL118,BL120),BL120,1)),1-TDIST((BL121-BL125)/ABS(BL121)*TINV(BL118,BL120),BL120,1),TDIST((BL125-BL121)/ABS(BL121)*TINV(BL118,BL120),BL120,1))*100</f>
        <v>#DIV/0!</v>
      </c>
    </row>
    <row r="128" spans="2:64" s="90" customFormat="1" ht="29.25" customHeight="1">
      <c r="B128" s="234"/>
      <c r="C128" s="237"/>
      <c r="D128" s="24" t="str">
        <f>IF(D127&lt;1,"almost certainly not",IF(D127&lt;5,"very unlikely",IF(D127&lt;25,"unlikely, probably not",IF(D127&lt;75,"possibly, may (not)",IF(D127&lt;95,"likely, probable",IF(D127&lt;99,"very likely","almost certainly"))))))</f>
        <v>possibly, may (not)</v>
      </c>
      <c r="G128" s="234"/>
      <c r="H128" s="237"/>
      <c r="I128" s="24" t="str">
        <f>IF(I127&lt;1,"almost certainly not",IF(I127&lt;5,"very unlikely",IF(I127&lt;25,"unlikely, probably not",IF(I127&lt;75,"possibly, may (not)",IF(I127&lt;95,"likely, probable",IF(I127&lt;99,"very likely","almost certainly"))))))</f>
        <v>almost certainly not</v>
      </c>
      <c r="J128" s="24" t="str">
        <f>IF(J127&lt;1,"almost certainly not",IF(J127&lt;5,"very unlikely",IF(J127&lt;25,"unlikely, probably not",IF(J127&lt;75,"possibly, may (not)",IF(J127&lt;95,"likely, probable",IF(J127&lt;99,"very likely","almost certainly"))))))</f>
        <v>almost certainly not</v>
      </c>
      <c r="K128" s="24" t="str">
        <f>IF(K127&lt;1,"almost certainly not",IF(K127&lt;5,"very unlikely",IF(K127&lt;25,"unlikely, probably not",IF(K127&lt;75,"possibly, may (not)",IF(K127&lt;95,"likely, probable",IF(K127&lt;99,"very likely","almost certainly"))))))</f>
        <v>possibly, may (not)</v>
      </c>
      <c r="L128" s="24" t="e">
        <f>IF(L127&lt;1,"almost certainly not",IF(L127&lt;5,"very unlikely",IF(L127&lt;25,"unlikely, probably not",IF(L127&lt;75,"possibly, may (not)",IF(L127&lt;95,"likely, probable",IF(L127&lt;99,"very likely","almost certainly"))))))</f>
        <v>#DIV/0!</v>
      </c>
      <c r="O128" s="234"/>
      <c r="P128" s="237"/>
      <c r="Q128" s="24" t="str">
        <f>IF(Q127&lt;1,"almost certainly not",IF(Q127&lt;5,"very unlikely",IF(Q127&lt;25,"unlikely, probably not",IF(Q127&lt;75,"possibly, may (not)",IF(Q127&lt;95,"likely, probable",IF(Q127&lt;99,"very likely","almost certainly"))))))</f>
        <v>unlikely, probably not</v>
      </c>
      <c r="T128" s="234"/>
      <c r="U128" s="237"/>
      <c r="V128" s="24" t="str">
        <f>IF(V127&lt;1,"almost certainly not",IF(V127&lt;5,"very unlikely",IF(V127&lt;25,"unlikely, probably not",IF(V127&lt;75,"possibly, may (not)",IF(V127&lt;95,"likely, probable",IF(V127&lt;99,"very likely","almost certainly"))))))</f>
        <v>almost certainly not</v>
      </c>
      <c r="W128" s="24" t="str">
        <f>IF(W127&lt;1,"almost certainly not",IF(W127&lt;5,"very unlikely",IF(W127&lt;25,"unlikely, probably not",IF(W127&lt;75,"possibly, may (not)",IF(W127&lt;95,"likely, probable",IF(W127&lt;99,"very likely","almost certainly"))))))</f>
        <v>almost certainly not</v>
      </c>
      <c r="X128" s="24" t="str">
        <f>IF(X127&lt;1,"almost certainly not",IF(X127&lt;5,"very unlikely",IF(X127&lt;25,"unlikely, probably not",IF(X127&lt;75,"possibly, may (not)",IF(X127&lt;95,"likely, probable",IF(X127&lt;99,"very likely","almost certainly"))))))</f>
        <v>unlikely, probably not</v>
      </c>
      <c r="Y128" s="24" t="e">
        <f>IF(Y127&lt;1,"almost certainly not",IF(Y127&lt;5,"very unlikely",IF(Y127&lt;25,"unlikely, probably not",IF(Y127&lt;75,"possibly, may (not)",IF(Y127&lt;95,"likely, probable",IF(Y127&lt;99,"very likely","almost certainly"))))))</f>
        <v>#DIV/0!</v>
      </c>
      <c r="AB128" s="234"/>
      <c r="AC128" s="237"/>
      <c r="AD128" s="24" t="str">
        <f>IF(AD127&lt;1,"almost certainly not",IF(AD127&lt;5,"very unlikely",IF(AD127&lt;25,"unlikely, probably not",IF(AD127&lt;75,"possibly, may (not)",IF(AD127&lt;95,"likely, probable",IF(AD127&lt;99,"very likely","almost certainly"))))))</f>
        <v>unlikely, probably not</v>
      </c>
      <c r="AE128"/>
      <c r="AF128"/>
      <c r="AG128" s="234"/>
      <c r="AH128" s="237"/>
      <c r="AI128" s="24" t="str">
        <f>IF(AI127&lt;1,"almost certainly not",IF(AI127&lt;5,"very unlikely",IF(AI127&lt;25,"unlikely, probably not",IF(AI127&lt;75,"possibly, may (not)",IF(AI127&lt;95,"likely, probable",IF(AI127&lt;99,"very likely","almost certainly"))))))</f>
        <v>almost certainly not</v>
      </c>
      <c r="AJ128" s="24" t="str">
        <f>IF(AJ127&lt;1,"almost certainly not",IF(AJ127&lt;5,"very unlikely",IF(AJ127&lt;25,"unlikely, probably not",IF(AJ127&lt;75,"possibly, may (not)",IF(AJ127&lt;95,"likely, probable",IF(AJ127&lt;99,"very likely","almost certainly"))))))</f>
        <v>almost certainly not</v>
      </c>
      <c r="AK128" s="24" t="str">
        <f>IF(AK127&lt;1,"almost certainly not",IF(AK127&lt;5,"very unlikely",IF(AK127&lt;25,"unlikely, probably not",IF(AK127&lt;75,"possibly, may (not)",IF(AK127&lt;95,"likely, probable",IF(AK127&lt;99,"very likely","almost certainly"))))))</f>
        <v>almost certainly not</v>
      </c>
      <c r="AL128" s="24" t="e">
        <f>IF(AL127&lt;1,"almost certainly not",IF(AL127&lt;5,"very unlikely",IF(AL127&lt;25,"unlikely, probably not",IF(AL127&lt;75,"possibly, may (not)",IF(AL127&lt;95,"likely, probable",IF(AL127&lt;99,"very likely","almost certainly"))))))</f>
        <v>#DIV/0!</v>
      </c>
      <c r="AO128" s="234"/>
      <c r="AP128" s="237"/>
      <c r="AQ128" s="24" t="str">
        <f>IF(AQ127&lt;1,"almost certainly not",IF(AQ127&lt;5,"very unlikely",IF(AQ127&lt;25,"unlikely, probably not",IF(AQ127&lt;75,"possibly, may (not)",IF(AQ127&lt;95,"likely, probable",IF(AQ127&lt;99,"very likely","almost certainly"))))))</f>
        <v>unlikely, probably not</v>
      </c>
      <c r="AR128"/>
      <c r="AS128"/>
      <c r="AT128" s="234"/>
      <c r="AU128" s="237"/>
      <c r="AV128" s="24" t="str">
        <f>IF(AV127&lt;1,"almost certainly not",IF(AV127&lt;5,"very unlikely",IF(AV127&lt;25,"unlikely, probably not",IF(AV127&lt;75,"possibly, may (not)",IF(AV127&lt;95,"likely, probable",IF(AV127&lt;99,"very likely","almost certainly"))))))</f>
        <v>almost certainly not</v>
      </c>
      <c r="AW128" s="24" t="str">
        <f>IF(AW127&lt;1,"almost certainly not",IF(AW127&lt;5,"very unlikely",IF(AW127&lt;25,"unlikely, probably not",IF(AW127&lt;75,"possibly, may (not)",IF(AW127&lt;95,"likely, probable",IF(AW127&lt;99,"very likely","almost certainly"))))))</f>
        <v>almost certainly not</v>
      </c>
      <c r="AX128" s="24" t="str">
        <f>IF(AX127&lt;1,"almost certainly not",IF(AX127&lt;5,"very unlikely",IF(AX127&lt;25,"unlikely, probably not",IF(AX127&lt;75,"possibly, may (not)",IF(AX127&lt;95,"likely, probable",IF(AX127&lt;99,"very likely","almost certainly"))))))</f>
        <v>unlikely, probably not</v>
      </c>
      <c r="AY128" s="24" t="e">
        <f>IF(AY127&lt;1,"almost certainly not",IF(AY127&lt;5,"very unlikely",IF(AY127&lt;25,"unlikely, probably not",IF(AY127&lt;75,"possibly, may (not)",IF(AY127&lt;95,"likely, probable",IF(AY127&lt;99,"very likely","almost certainly"))))))</f>
        <v>#DIV/0!</v>
      </c>
      <c r="BB128" s="234"/>
      <c r="BC128" s="237"/>
      <c r="BD128" s="24" t="str">
        <f>IF(BD127&lt;1,"almost certainly not",IF(BD127&lt;5,"very unlikely",IF(BD127&lt;25,"unlikely, probably not",IF(BD127&lt;75,"possibly, may (not)",IF(BD127&lt;95,"likely, probable",IF(BD127&lt;99,"very likely","almost certainly"))))))</f>
        <v>unlikely, probably not</v>
      </c>
      <c r="BE128"/>
      <c r="BF128"/>
      <c r="BG128" s="234"/>
      <c r="BH128" s="237"/>
      <c r="BI128" s="24" t="str">
        <f>IF(BI127&lt;1,"almost certainly not",IF(BI127&lt;5,"very unlikely",IF(BI127&lt;25,"unlikely, probably not",IF(BI127&lt;75,"possibly, may (not)",IF(BI127&lt;95,"likely, probable",IF(BI127&lt;99,"very likely","almost certainly"))))))</f>
        <v>almost certainly not</v>
      </c>
      <c r="BJ128" s="24" t="str">
        <f>IF(BJ127&lt;1,"almost certainly not",IF(BJ127&lt;5,"very unlikely",IF(BJ127&lt;25,"unlikely, probably not",IF(BJ127&lt;75,"possibly, may (not)",IF(BJ127&lt;95,"likely, probable",IF(BJ127&lt;99,"very likely","almost certainly"))))))</f>
        <v>almost certainly not</v>
      </c>
      <c r="BK128" s="24" t="str">
        <f>IF(BK127&lt;1,"almost certainly not",IF(BK127&lt;5,"very unlikely",IF(BK127&lt;25,"unlikely, probably not",IF(BK127&lt;75,"possibly, may (not)",IF(BK127&lt;95,"likely, probable",IF(BK127&lt;99,"very likely","almost certainly"))))))</f>
        <v>unlikely, probably not</v>
      </c>
      <c r="BL128" s="24" t="e">
        <f>IF(BL127&lt;1,"almost certainly not",IF(BL127&lt;5,"very unlikely",IF(BL127&lt;25,"unlikely, probably not",IF(BL127&lt;75,"possibly, may (not)",IF(BL127&lt;95,"likely, probable",IF(BL127&lt;99,"very likely","almost certainly"))))))</f>
        <v>#DIV/0!</v>
      </c>
    </row>
    <row r="129" spans="2:64" s="90" customFormat="1" ht="12.75">
      <c r="B129" s="234"/>
      <c r="C129" s="238" t="s">
        <v>23</v>
      </c>
      <c r="D129" s="99">
        <f>100-D127-D131</f>
        <v>43.982961358603276</v>
      </c>
      <c r="G129" s="234"/>
      <c r="H129" s="238" t="s">
        <v>23</v>
      </c>
      <c r="I129" s="99">
        <f>100-I127-I131</f>
        <v>0.5596921101110155</v>
      </c>
      <c r="J129" s="99">
        <f>100-J127-J131</f>
        <v>21.661720183987597</v>
      </c>
      <c r="K129" s="99">
        <f>100-K127-K131</f>
        <v>38.588372171923616</v>
      </c>
      <c r="L129" s="99" t="e">
        <f>100-L127-L131</f>
        <v>#DIV/0!</v>
      </c>
      <c r="O129" s="234"/>
      <c r="P129" s="238" t="s">
        <v>23</v>
      </c>
      <c r="Q129" s="99">
        <f>100-Q127-Q131</f>
        <v>87.78922353229949</v>
      </c>
      <c r="T129" s="234"/>
      <c r="U129" s="238" t="s">
        <v>23</v>
      </c>
      <c r="V129" s="99">
        <f>100-V127-V131</f>
        <v>29.44151828792009</v>
      </c>
      <c r="W129" s="99">
        <f>100-W127-W131</f>
        <v>79.92746066067484</v>
      </c>
      <c r="X129" s="99">
        <f>100-X127-X131</f>
        <v>92.34601018699425</v>
      </c>
      <c r="Y129" s="99" t="e">
        <f>100-Y127-Y131</f>
        <v>#DIV/0!</v>
      </c>
      <c r="AB129" s="234"/>
      <c r="AC129" s="238" t="s">
        <v>23</v>
      </c>
      <c r="AD129" s="99">
        <f>100-AD127-AD131</f>
        <v>91.92084064648162</v>
      </c>
      <c r="AE129"/>
      <c r="AF129"/>
      <c r="AG129" s="234"/>
      <c r="AH129" s="267" t="s">
        <v>23</v>
      </c>
      <c r="AI129" s="99">
        <f>100-AI127-AI131</f>
        <v>50.83473699060208</v>
      </c>
      <c r="AJ129" s="99">
        <f>100-AJ127-AJ131</f>
        <v>90.285948389608</v>
      </c>
      <c r="AK129" s="99">
        <f>100-AK127-AK131</f>
        <v>99.46198561728878</v>
      </c>
      <c r="AL129" s="99" t="e">
        <f>100-AL127-AL131</f>
        <v>#DIV/0!</v>
      </c>
      <c r="AO129" s="234"/>
      <c r="AP129" s="238" t="s">
        <v>23</v>
      </c>
      <c r="AQ129" s="99">
        <f>100-AQ127-AQ131</f>
        <v>82.39085535891672</v>
      </c>
      <c r="AR129"/>
      <c r="AS129"/>
      <c r="AT129" s="234"/>
      <c r="AU129" s="267" t="s">
        <v>23</v>
      </c>
      <c r="AV129" s="99">
        <f>100-AV127-AV131</f>
        <v>22.10107909489531</v>
      </c>
      <c r="AW129" s="99">
        <f>100-AW127-AW131</f>
        <v>73.17309039211469</v>
      </c>
      <c r="AX129" s="99">
        <f>100-AX127-AX131</f>
        <v>86.77283419359236</v>
      </c>
      <c r="AY129" s="99" t="e">
        <f>100-AY127-AY131</f>
        <v>#DIV/0!</v>
      </c>
      <c r="BB129" s="234"/>
      <c r="BC129" s="238" t="s">
        <v>23</v>
      </c>
      <c r="BD129" s="99">
        <f>100-BD127-BD131</f>
        <v>82.34610356850405</v>
      </c>
      <c r="BE129"/>
      <c r="BF129"/>
      <c r="BG129" s="234"/>
      <c r="BH129" s="267" t="s">
        <v>23</v>
      </c>
      <c r="BI129" s="99">
        <f>100-BI127-BI131</f>
        <v>22.01479139896199</v>
      </c>
      <c r="BJ129" s="99">
        <f>100-BJ127-BJ131</f>
        <v>73.22884877736882</v>
      </c>
      <c r="BK129" s="99">
        <f>100-BK127-BK131</f>
        <v>86.79724048936544</v>
      </c>
      <c r="BL129" s="99" t="e">
        <f>100-BL127-BL131</f>
        <v>#DIV/0!</v>
      </c>
    </row>
    <row r="130" spans="2:64" s="90" customFormat="1" ht="30.75" customHeight="1">
      <c r="B130" s="234"/>
      <c r="C130" s="239"/>
      <c r="D130" s="24" t="str">
        <f>IF(D129&lt;1,"almost certainly not",IF(D129&lt;5,"very unlikely",IF(D129&lt;25,"unlikely, probably not",IF(D129&lt;75,"possibly, may (not)",IF(D129&lt;95,"likely, probable",IF(D129&lt;99,"very likely","almost certainly"))))))</f>
        <v>possibly, may (not)</v>
      </c>
      <c r="G130" s="234"/>
      <c r="H130" s="239"/>
      <c r="I130" s="24" t="str">
        <f>IF(I129&lt;1,"almost certainly not",IF(I129&lt;5,"very unlikely",IF(I129&lt;25,"unlikely, probably not",IF(I129&lt;75,"possibly, may (not)",IF(I129&lt;95,"likely, probable",IF(I129&lt;99,"very likely","almost certainly"))))))</f>
        <v>almost certainly not</v>
      </c>
      <c r="J130" s="24" t="str">
        <f>IF(J129&lt;1,"almost certainly not",IF(J129&lt;5,"very unlikely",IF(J129&lt;25,"unlikely, probably not",IF(J129&lt;75,"possibly, may (not)",IF(J129&lt;95,"likely, probable",IF(J129&lt;99,"very likely","almost certainly"))))))</f>
        <v>unlikely, probably not</v>
      </c>
      <c r="K130" s="24" t="str">
        <f>IF(K129&lt;1,"almost certainly not",IF(K129&lt;5,"very unlikely",IF(K129&lt;25,"unlikely, probably not",IF(K129&lt;75,"possibly, may (not)",IF(K129&lt;95,"likely, probable",IF(K129&lt;99,"very likely","almost certainly"))))))</f>
        <v>possibly, may (not)</v>
      </c>
      <c r="L130" s="24" t="e">
        <f>IF(L129&lt;1,"almost certainly not",IF(L129&lt;5,"very unlikely",IF(L129&lt;25,"unlikely, probably not",IF(L129&lt;75,"possibly, may (not)",IF(L129&lt;95,"likely, probable",IF(L129&lt;99,"very likely","almost certainly"))))))</f>
        <v>#DIV/0!</v>
      </c>
      <c r="O130" s="234"/>
      <c r="P130" s="239"/>
      <c r="Q130" s="24" t="str">
        <f>IF(Q129&lt;1,"almost certainly not",IF(Q129&lt;5,"very unlikely",IF(Q129&lt;25,"unlikely, probably not",IF(Q129&lt;75,"possibly, may (not)",IF(Q129&lt;95,"likely, probable",IF(Q129&lt;99,"very likely","almost certainly"))))))</f>
        <v>likely, probable</v>
      </c>
      <c r="T130" s="234"/>
      <c r="U130" s="239"/>
      <c r="V130" s="24" t="str">
        <f>IF(V129&lt;1,"almost certainly not",IF(V129&lt;5,"very unlikely",IF(V129&lt;25,"unlikely, probably not",IF(V129&lt;75,"possibly, may (not)",IF(V129&lt;95,"likely, probable",IF(V129&lt;99,"very likely","almost certainly"))))))</f>
        <v>possibly, may (not)</v>
      </c>
      <c r="W130" s="24" t="str">
        <f>IF(W129&lt;1,"almost certainly not",IF(W129&lt;5,"very unlikely",IF(W129&lt;25,"unlikely, probably not",IF(W129&lt;75,"possibly, may (not)",IF(W129&lt;95,"likely, probable",IF(W129&lt;99,"very likely","almost certainly"))))))</f>
        <v>likely, probable</v>
      </c>
      <c r="X130" s="24" t="str">
        <f>IF(X129&lt;1,"almost certainly not",IF(X129&lt;5,"very unlikely",IF(X129&lt;25,"unlikely, probably not",IF(X129&lt;75,"possibly, may (not)",IF(X129&lt;95,"likely, probable",IF(X129&lt;99,"very likely","almost certainly"))))))</f>
        <v>likely, probable</v>
      </c>
      <c r="Y130" s="24" t="e">
        <f>IF(Y129&lt;1,"almost certainly not",IF(Y129&lt;5,"very unlikely",IF(Y129&lt;25,"unlikely, probably not",IF(Y129&lt;75,"possibly, may (not)",IF(Y129&lt;95,"likely, probable",IF(Y129&lt;99,"very likely","almost certainly"))))))</f>
        <v>#DIV/0!</v>
      </c>
      <c r="AB130" s="234"/>
      <c r="AC130" s="239"/>
      <c r="AD130" s="24" t="str">
        <f>IF(AD129&lt;1,"almost certainly not",IF(AD129&lt;5,"very unlikely",IF(AD129&lt;25,"unlikely, probably not",IF(AD129&lt;75,"possibly, may (not)",IF(AD129&lt;95,"likely, probable",IF(AD129&lt;99,"very likely","almost certainly"))))))</f>
        <v>likely, probable</v>
      </c>
      <c r="AE130"/>
      <c r="AF130"/>
      <c r="AG130" s="234"/>
      <c r="AH130" s="268"/>
      <c r="AI130" s="24" t="str">
        <f>IF(AI129&lt;1,"almost certainly not",IF(AI129&lt;5,"very unlikely",IF(AI129&lt;25,"unlikely, probably not",IF(AI129&lt;75,"possibly, may (not)",IF(AI129&lt;95,"likely, probable",IF(AI129&lt;99,"very likely","almost certainly"))))))</f>
        <v>possibly, may (not)</v>
      </c>
      <c r="AJ130" s="24" t="str">
        <f>IF(AJ129&lt;1,"almost certainly not",IF(AJ129&lt;5,"very unlikely",IF(AJ129&lt;25,"unlikely, probably not",IF(AJ129&lt;75,"possibly, may (not)",IF(AJ129&lt;95,"likely, probable",IF(AJ129&lt;99,"very likely","almost certainly"))))))</f>
        <v>likely, probable</v>
      </c>
      <c r="AK130" s="24" t="str">
        <f>IF(AK129&lt;1,"almost certainly not",IF(AK129&lt;5,"very unlikely",IF(AK129&lt;25,"unlikely, probably not",IF(AK129&lt;75,"possibly, may (not)",IF(AK129&lt;95,"likely, probable",IF(AK129&lt;99,"very likely","almost certainly"))))))</f>
        <v>almost certainly</v>
      </c>
      <c r="AL130" s="24" t="e">
        <f>IF(AL129&lt;1,"almost certainly not",IF(AL129&lt;5,"very unlikely",IF(AL129&lt;25,"unlikely, probably not",IF(AL129&lt;75,"possibly, may (not)",IF(AL129&lt;95,"likely, probable",IF(AL129&lt;99,"very likely","almost certainly"))))))</f>
        <v>#DIV/0!</v>
      </c>
      <c r="AO130" s="234"/>
      <c r="AP130" s="239"/>
      <c r="AQ130" s="24" t="str">
        <f>IF(AQ129&lt;1,"almost certainly not",IF(AQ129&lt;5,"very unlikely",IF(AQ129&lt;25,"unlikely, probably not",IF(AQ129&lt;75,"possibly, may (not)",IF(AQ129&lt;95,"likely, probable",IF(AQ129&lt;99,"very likely","almost certainly"))))))</f>
        <v>likely, probable</v>
      </c>
      <c r="AR130"/>
      <c r="AS130"/>
      <c r="AT130" s="234"/>
      <c r="AU130" s="268"/>
      <c r="AV130" s="24" t="str">
        <f>IF(AV129&lt;1,"almost certainly not",IF(AV129&lt;5,"very unlikely",IF(AV129&lt;25,"unlikely, probably not",IF(AV129&lt;75,"possibly, may (not)",IF(AV129&lt;95,"likely, probable",IF(AV129&lt;99,"very likely","almost certainly"))))))</f>
        <v>unlikely, probably not</v>
      </c>
      <c r="AW130" s="24" t="str">
        <f>IF(AW129&lt;1,"almost certainly not",IF(AW129&lt;5,"very unlikely",IF(AW129&lt;25,"unlikely, probably not",IF(AW129&lt;75,"possibly, may (not)",IF(AW129&lt;95,"likely, probable",IF(AW129&lt;99,"very likely","almost certainly"))))))</f>
        <v>possibly, may (not)</v>
      </c>
      <c r="AX130" s="24" t="str">
        <f>IF(AX129&lt;1,"almost certainly not",IF(AX129&lt;5,"very unlikely",IF(AX129&lt;25,"unlikely, probably not",IF(AX129&lt;75,"possibly, may (not)",IF(AX129&lt;95,"likely, probable",IF(AX129&lt;99,"very likely","almost certainly"))))))</f>
        <v>likely, probable</v>
      </c>
      <c r="AY130" s="24" t="e">
        <f>IF(AY129&lt;1,"almost certainly not",IF(AY129&lt;5,"very unlikely",IF(AY129&lt;25,"unlikely, probably not",IF(AY129&lt;75,"possibly, may (not)",IF(AY129&lt;95,"likely, probable",IF(AY129&lt;99,"very likely","almost certainly"))))))</f>
        <v>#DIV/0!</v>
      </c>
      <c r="BB130" s="234"/>
      <c r="BC130" s="239"/>
      <c r="BD130" s="24" t="str">
        <f>IF(BD129&lt;1,"almost certainly not",IF(BD129&lt;5,"very unlikely",IF(BD129&lt;25,"unlikely, probably not",IF(BD129&lt;75,"possibly, may (not)",IF(BD129&lt;95,"likely, probable",IF(BD129&lt;99,"very likely","almost certainly"))))))</f>
        <v>likely, probable</v>
      </c>
      <c r="BE130"/>
      <c r="BF130"/>
      <c r="BG130" s="234"/>
      <c r="BH130" s="268"/>
      <c r="BI130" s="24" t="str">
        <f>IF(BI129&lt;1,"almost certainly not",IF(BI129&lt;5,"very unlikely",IF(BI129&lt;25,"unlikely, probably not",IF(BI129&lt;75,"possibly, may (not)",IF(BI129&lt;95,"likely, probable",IF(BI129&lt;99,"very likely","almost certainly"))))))</f>
        <v>unlikely, probably not</v>
      </c>
      <c r="BJ130" s="24" t="str">
        <f>IF(BJ129&lt;1,"almost certainly not",IF(BJ129&lt;5,"very unlikely",IF(BJ129&lt;25,"unlikely, probably not",IF(BJ129&lt;75,"possibly, may (not)",IF(BJ129&lt;95,"likely, probable",IF(BJ129&lt;99,"very likely","almost certainly"))))))</f>
        <v>possibly, may (not)</v>
      </c>
      <c r="BK130" s="24" t="str">
        <f>IF(BK129&lt;1,"almost certainly not",IF(BK129&lt;5,"very unlikely",IF(BK129&lt;25,"unlikely, probably not",IF(BK129&lt;75,"possibly, may (not)",IF(BK129&lt;95,"likely, probable",IF(BK129&lt;99,"very likely","almost certainly"))))))</f>
        <v>likely, probable</v>
      </c>
      <c r="BL130" s="24" t="e">
        <f>IF(BL129&lt;1,"almost certainly not",IF(BL129&lt;5,"very unlikely",IF(BL129&lt;25,"unlikely, probably not",IF(BL129&lt;75,"possibly, may (not)",IF(BL129&lt;95,"likely, probable",IF(BL129&lt;99,"very likely","almost certainly"))))))</f>
        <v>#DIV/0!</v>
      </c>
    </row>
    <row r="131" spans="2:64" s="90" customFormat="1" ht="12.75">
      <c r="B131" s="234"/>
      <c r="C131" s="240" t="s">
        <v>25</v>
      </c>
      <c r="D131" s="99">
        <f>IF(ISERROR(TDIST((D126-D121)/ABS(D121)*TINV(D118,D120),D120,1)),TDIST((D121-D126)/ABS(D121)*TINV(D118,D120),D120,1),1-TDIST((D126-D121)/ABS(D121)*TINV(D118,D120),D120,1))*100</f>
        <v>16.80061485171039</v>
      </c>
      <c r="G131" s="234"/>
      <c r="H131" s="240" t="s">
        <v>25</v>
      </c>
      <c r="I131" s="99">
        <f>IF(ISERROR(TDIST((I126-I121)/ABS(I121)*TINV(I118,I120),I120,1)),TDIST((I121-I126)/ABS(I121)*TINV(I118,I120),I120,1),1-TDIST((I126-I121)/ABS(I121)*TINV(I118,I120),I120,1))*100</f>
        <v>99.4401153839814</v>
      </c>
      <c r="J131" s="99">
        <f>IF(ISERROR(TDIST((J126-J121)/ABS(J121)*TINV(J118,J120),J120,1)),TDIST((J121-J126)/ABS(J121)*TINV(J118,J120),J120,1),1-TDIST((J126-J121)/ABS(J121)*TINV(J118,J120),J120,1))*100</f>
        <v>78.05277268959894</v>
      </c>
      <c r="K131" s="99">
        <f>IF(ISERROR(TDIST((K126-K121)/ABS(K121)*TINV(K118,K120),K120,1)),TDIST((K121-K126)/ABS(K121)*TINV(K118,K120),K120,1),1-TDIST((K126-K121)/ABS(K121)*TINV(K118,K120),K120,1))*100</f>
        <v>1.0226599088122048</v>
      </c>
      <c r="L131" s="99" t="e">
        <f>IF(ISERROR(TDIST((L126-L121)/ABS(L121)*TINV(L118,L120),L120,1)),TDIST((L121-L126)/ABS(L121)*TINV(L118,L120),L120,1),1-TDIST((L126-L121)/ABS(L121)*TINV(L118,L120),L120,1))*100</f>
        <v>#DIV/0!</v>
      </c>
      <c r="O131" s="234"/>
      <c r="P131" s="240" t="s">
        <v>25</v>
      </c>
      <c r="Q131" s="99">
        <f>IF(ISERROR(TDIST((LN(Q126)-LN(Q121))/ABS(LN(Q121))*TINV(Q118,Q120),Q120,1)),TDIST((LN(Q121)-LN(Q126))/ABS(LN(Q121))*TINV(Q118,Q120),Q120,1),1-TDIST((LN(Q126)-LN(Q121))/ABS(LN(Q121))*TINV(Q118,Q120),Q120,1))*100</f>
        <v>3.6502679391523047</v>
      </c>
      <c r="T131" s="234"/>
      <c r="U131" s="240" t="s">
        <v>25</v>
      </c>
      <c r="V131" s="99">
        <f>IF(ISERROR(TDIST((LN(V126)-LN(V121))/ABS(LN(V121))*TINV(V118,V120),V120,1)),TDIST((LN(V121)-LN(V126))/ABS(LN(V121))*TINV(V118,V120),V120,1),1-TDIST((LN(V126)-LN(V121))/ABS(LN(V121))*TINV(V118,V120),V120,1))*100</f>
        <v>70.5584813213785</v>
      </c>
      <c r="W131" s="99">
        <f>IF(ISERROR(TDIST((LN(W126)-LN(W121))/ABS(LN(W121))*TINV(W118,W120),W120,1)),TDIST((LN(W121)-LN(W126))/ABS(LN(W121))*TINV(W118,W120),W120,1),1-TDIST((LN(W126)-LN(W121))/ABS(LN(W121))*TINV(W118,W120),W120,1))*100</f>
        <v>20.070686067630323</v>
      </c>
      <c r="X131" s="99">
        <f>IF(ISERROR(TDIST((LN(X126)-LN(X121))/ABS(LN(X121))*TINV(X118,X120),X120,1)),TDIST((LN(X121)-LN(X126))/ABS(LN(X121))*TINV(X118,X120),X120,1),1-TDIST((LN(X126)-LN(X121))/ABS(LN(X121))*TINV(X118,X120),X120,1))*100</f>
        <v>0.006355121111378829</v>
      </c>
      <c r="Y131" s="99" t="e">
        <f>IF(ISERROR(TDIST((LN(Y126)-LN(Y121))/ABS(LN(Y121))*TINV(Y118,Y120),Y120,1)),TDIST((LN(Y121)-LN(Y126))/ABS(LN(Y121))*TINV(Y118,Y120),Y120,1),1-TDIST((LN(Y126)-LN(Y121))/ABS(LN(Y121))*TINV(Y118,Y120),Y120,1))*100</f>
        <v>#DIV/0!</v>
      </c>
      <c r="AB131" s="234"/>
      <c r="AC131" s="240" t="s">
        <v>25</v>
      </c>
      <c r="AD131" s="99">
        <f>IF(ISERROR(TDIST((AD126-AD121)/ABS(AD121)*TINV(AD118,AD120),AD120,1)),TDIST((AD121-AD126)/ABS(AD121)*TINV(AD118,AD120),AD120,1),1-TDIST((AD126-AD121)/ABS(AD121)*TINV(AD118,AD120),AD120,1))*100</f>
        <v>0.49591207326372966</v>
      </c>
      <c r="AE131"/>
      <c r="AF131"/>
      <c r="AG131" s="234"/>
      <c r="AH131" s="240" t="s">
        <v>25</v>
      </c>
      <c r="AI131" s="99">
        <f>IF(ISERROR(TDIST((AI126-AI121)/ABS(AI121)*TINV(AI118,AI120),AI120,1)),TDIST((AI121-AI126)/ABS(AI121)*TINV(AI118,AI120),AI120,1),1-TDIST((AI126-AI121)/ABS(AI121)*TINV(AI118,AI120),AI120,1))*100</f>
        <v>49.16525749961856</v>
      </c>
      <c r="AJ131" s="99">
        <f>IF(ISERROR(TDIST((AJ126-AJ121)/ABS(AJ121)*TINV(AJ118,AJ120),AJ120,1)),TDIST((AJ121-AJ126)/ABS(AJ121)*TINV(AJ118,AJ120),AJ120,1),1-TDIST((AJ126-AJ121)/ABS(AJ121)*TINV(AJ118,AJ120),AJ120,1))*100</f>
        <v>9.713640723650435</v>
      </c>
      <c r="AK131" s="99">
        <f>IF(ISERROR(TDIST((AK126-AK121)/ABS(AK121)*TINV(AK118,AK120),AK120,1)),TDIST((AK121-AK126)/ABS(AK121)*TINV(AK118,AK120),AK120,1),1-TDIST((AK126-AK121)/ABS(AK121)*TINV(AK118,AK120),AK120,1))*100</f>
        <v>0.008462144710937975</v>
      </c>
      <c r="AL131" s="99" t="e">
        <f>IF(ISERROR(TDIST((AL126-AL121)/ABS(AL121)*TINV(AL118,AL120),AL120,1)),TDIST((AL121-AL126)/ABS(AL121)*TINV(AL118,AL120),AL120,1),1-TDIST((AL126-AL121)/ABS(AL121)*TINV(AL118,AL120),AL120,1))*100</f>
        <v>#DIV/0!</v>
      </c>
      <c r="AO131" s="234"/>
      <c r="AP131" s="240" t="s">
        <v>25</v>
      </c>
      <c r="AQ131" s="99">
        <f>IF(ISERROR(TDIST((AQ126-AQ121)/ABS(AQ121)*TINV(AQ118,AQ120),AQ120,1)),TDIST((AQ121-AQ126)/ABS(AQ121)*TINV(AQ118,AQ120),AQ120,1),1-TDIST((AQ126-AQ121)/ABS(AQ121)*TINV(AQ118,AQ120),AQ120,1))*100</f>
        <v>4.6262636221129965</v>
      </c>
      <c r="AR131"/>
      <c r="AS131"/>
      <c r="AT131" s="234"/>
      <c r="AU131" s="240" t="s">
        <v>25</v>
      </c>
      <c r="AV131" s="99">
        <f>IF(ISERROR(TDIST((AV126-AV121)/ABS(AV121)*TINV(AV118,AV120),AV120,1)),TDIST((AV121-AV126)/ABS(AV121)*TINV(AV118,AV120),AV120,1),1-TDIST((AV126-AV121)/ABS(AV121)*TINV(AV118,AV120),AV120,1))*100</f>
        <v>77.89892024160781</v>
      </c>
      <c r="AW131" s="99">
        <f>IF(ISERROR(TDIST((AW126-AW121)/ABS(AW121)*TINV(AW118,AW120),AW120,1)),TDIST((AW121-AW126)/ABS(AW121)*TINV(AW118,AW120),AW120,1),1-TDIST((AW126-AW121)/ABS(AW121)*TINV(AW118,AW120),AW120,1))*100</f>
        <v>26.822625774141034</v>
      </c>
      <c r="AX131" s="99">
        <f>IF(ISERROR(TDIST((AX126-AX121)/ABS(AX121)*TINV(AX118,AX120),AX120,1)),TDIST((AX121-AX126)/ABS(AX121)*TINV(AX118,AX120),AX120,1),1-TDIST((AX126-AX121)/ABS(AX121)*TINV(AX118,AX120),AX120,1))*100</f>
        <v>0.020296068046084862</v>
      </c>
      <c r="AY131" s="99" t="e">
        <f>IF(ISERROR(TDIST((AY126-AY121)/ABS(AY121)*TINV(AY118,AY120),AY120,1)),TDIST((AY121-AY126)/ABS(AY121)*TINV(AY118,AY120),AY120,1),1-TDIST((AY126-AY121)/ABS(AY121)*TINV(AY118,AY120),AY120,1))*100</f>
        <v>#DIV/0!</v>
      </c>
      <c r="BB131" s="234"/>
      <c r="BC131" s="240" t="s">
        <v>25</v>
      </c>
      <c r="BD131" s="99">
        <f>IF(ISERROR(TDIST((BD126-BD121)/ABS(BD121)*TINV(BD118,BD120),BD120,1)),TDIST((BD121-BD126)/ABS(BD121)*TINV(BD118,BD120),BD120,1),1-TDIST((BD126-BD121)/ABS(BD121)*TINV(BD118,BD120),BD120,1))*100</f>
        <v>4.549441314846325</v>
      </c>
      <c r="BE131"/>
      <c r="BF131"/>
      <c r="BG131" s="234"/>
      <c r="BH131" s="240" t="s">
        <v>25</v>
      </c>
      <c r="BI131" s="99">
        <f>IF(ISERROR(TDIST((BI126-BI121)/ABS(BI121)*TINV(BI118,BI120),BI120,1)),TDIST((BI121-BI126)/ABS(BI121)*TINV(BI118,BI120),BI120,1),1-TDIST((BI126-BI121)/ABS(BI121)*TINV(BI118,BI120),BI120,1))*100</f>
        <v>77.98520791995224</v>
      </c>
      <c r="BJ131" s="99">
        <f>IF(ISERROR(TDIST((BJ126-BJ121)/ABS(BJ121)*TINV(BJ118,BJ120),BJ120,1)),TDIST((BJ121-BJ126)/ABS(BJ121)*TINV(BJ118,BJ120),BJ120,1),1-TDIST((BJ126-BJ121)/ABS(BJ121)*TINV(BJ118,BJ120),BJ120,1))*100</f>
        <v>26.766881036109304</v>
      </c>
      <c r="BK131" s="99">
        <f>IF(ISERROR(TDIST((BK126-BK121)/ABS(BK121)*TINV(BK118,BK120),BK120,1)),TDIST((BK121-BK126)/ABS(BK121)*TINV(BK118,BK120),BK120,1),1-TDIST((BK126-BK121)/ABS(BK121)*TINV(BK118,BK120),BK120,1))*100</f>
        <v>0.020594481024163</v>
      </c>
      <c r="BL131" s="99" t="e">
        <f>IF(ISERROR(TDIST((BL126-BL121)/ABS(BL121)*TINV(BL118,BL120),BL120,1)),TDIST((BL121-BL126)/ABS(BL121)*TINV(BL118,BL120),BL120,1),1-TDIST((BL126-BL121)/ABS(BL121)*TINV(BL118,BL120),BL120,1))*100</f>
        <v>#DIV/0!</v>
      </c>
    </row>
    <row r="132" spans="2:64" s="90" customFormat="1" ht="30.75" customHeight="1">
      <c r="B132" s="235"/>
      <c r="C132" s="242"/>
      <c r="D132" s="24" t="str">
        <f>IF(D131&lt;1,"almost certainly not",IF(D131&lt;5,"very unlikely",IF(D131&lt;25,"unlikely, probably not",IF(D131&lt;75,"possibly, may (not)",IF(D131&lt;95,"likely, probable",IF(D131&lt;99,"very likely","almost certainly"))))))</f>
        <v>unlikely, probably not</v>
      </c>
      <c r="G132" s="235"/>
      <c r="H132" s="242"/>
      <c r="I132" s="24" t="str">
        <f>IF(I131&lt;1,"almost certainly not",IF(I131&lt;5,"very unlikely",IF(I131&lt;25,"unlikely, probably not",IF(I131&lt;75,"possibly, may (not)",IF(I131&lt;95,"likely, probable",IF(I131&lt;99,"very likely","almost certainly"))))))</f>
        <v>almost certainly</v>
      </c>
      <c r="J132" s="24" t="str">
        <f>IF(J131&lt;1,"almost certainly not",IF(J131&lt;5,"very unlikely",IF(J131&lt;25,"unlikely, probably not",IF(J131&lt;75,"possibly, may (not)",IF(J131&lt;95,"likely, probable",IF(J131&lt;99,"very likely","almost certainly"))))))</f>
        <v>likely, probable</v>
      </c>
      <c r="K132" s="24" t="str">
        <f>IF(K131&lt;1,"almost certainly not",IF(K131&lt;5,"very unlikely",IF(K131&lt;25,"unlikely, probably not",IF(K131&lt;75,"possibly, may (not)",IF(K131&lt;95,"likely, probable",IF(K131&lt;99,"very likely","almost certainly"))))))</f>
        <v>very unlikely</v>
      </c>
      <c r="L132" s="24" t="e">
        <f>IF(L131&lt;1,"almost certainly not",IF(L131&lt;5,"very unlikely",IF(L131&lt;25,"unlikely, probably not",IF(L131&lt;75,"possibly, may (not)",IF(L131&lt;95,"likely, probable",IF(L131&lt;99,"very likely","almost certainly"))))))</f>
        <v>#DIV/0!</v>
      </c>
      <c r="O132" s="235"/>
      <c r="P132" s="242"/>
      <c r="Q132" s="24" t="str">
        <f>IF(Q131&lt;1,"almost certainly not",IF(Q131&lt;5,"very unlikely",IF(Q131&lt;25,"unlikely, probably not",IF(Q131&lt;75,"possibly, may (not)",IF(Q131&lt;95,"likely, probable",IF(Q131&lt;99,"very likely","almost certainly"))))))</f>
        <v>very unlikely</v>
      </c>
      <c r="T132" s="235"/>
      <c r="U132" s="242"/>
      <c r="V132" s="24" t="str">
        <f>IF(V131&lt;1,"almost certainly not",IF(V131&lt;5,"very unlikely",IF(V131&lt;25,"unlikely, probably not",IF(V131&lt;75,"possibly, may (not)",IF(V131&lt;95,"likely, probable",IF(V131&lt;99,"very likely","almost certainly"))))))</f>
        <v>possibly, may (not)</v>
      </c>
      <c r="W132" s="24" t="str">
        <f>IF(W131&lt;1,"almost certainly not",IF(W131&lt;5,"very unlikely",IF(W131&lt;25,"unlikely, probably not",IF(W131&lt;75,"possibly, may (not)",IF(W131&lt;95,"likely, probable",IF(W131&lt;99,"very likely","almost certainly"))))))</f>
        <v>unlikely, probably not</v>
      </c>
      <c r="X132" s="24" t="str">
        <f>IF(X131&lt;1,"almost certainly not",IF(X131&lt;5,"very unlikely",IF(X131&lt;25,"unlikely, probably not",IF(X131&lt;75,"possibly, may (not)",IF(X131&lt;95,"likely, probable",IF(X131&lt;99,"very likely","almost certainly"))))))</f>
        <v>almost certainly not</v>
      </c>
      <c r="Y132" s="24" t="e">
        <f>IF(Y131&lt;1,"almost certainly not",IF(Y131&lt;5,"very unlikely",IF(Y131&lt;25,"unlikely, probably not",IF(Y131&lt;75,"possibly, may (not)",IF(Y131&lt;95,"likely, probable",IF(Y131&lt;99,"very likely","almost certainly"))))))</f>
        <v>#DIV/0!</v>
      </c>
      <c r="AB132" s="235"/>
      <c r="AC132" s="242"/>
      <c r="AD132" s="24" t="str">
        <f>IF(AD131&lt;1,"almost certainly not",IF(AD131&lt;5,"very unlikely",IF(AD131&lt;25,"unlikely, probably not",IF(AD131&lt;75,"possibly, may (not)",IF(AD131&lt;95,"likely, probable",IF(AD131&lt;99,"very likely","almost certainly"))))))</f>
        <v>almost certainly not</v>
      </c>
      <c r="AE132"/>
      <c r="AF132"/>
      <c r="AG132" s="235"/>
      <c r="AH132" s="242"/>
      <c r="AI132" s="24" t="str">
        <f>IF(AI131&lt;1,"almost certainly not",IF(AI131&lt;5,"very unlikely",IF(AI131&lt;25,"unlikely, probably not",IF(AI131&lt;75,"possibly, may (not)",IF(AI131&lt;95,"likely, probable",IF(AI131&lt;99,"very likely","almost certainly"))))))</f>
        <v>possibly, may (not)</v>
      </c>
      <c r="AJ132" s="24" t="str">
        <f>IF(AJ131&lt;1,"almost certainly not",IF(AJ131&lt;5,"very unlikely",IF(AJ131&lt;25,"unlikely, probably not",IF(AJ131&lt;75,"possibly, may (not)",IF(AJ131&lt;95,"likely, probable",IF(AJ131&lt;99,"very likely","almost certainly"))))))</f>
        <v>unlikely, probably not</v>
      </c>
      <c r="AK132" s="24" t="str">
        <f>IF(AK131&lt;1,"almost certainly not",IF(AK131&lt;5,"very unlikely",IF(AK131&lt;25,"unlikely, probably not",IF(AK131&lt;75,"possibly, may (not)",IF(AK131&lt;95,"likely, probable",IF(AK131&lt;99,"very likely","almost certainly"))))))</f>
        <v>almost certainly not</v>
      </c>
      <c r="AL132" s="24" t="e">
        <f>IF(AL131&lt;1,"almost certainly not",IF(AL131&lt;5,"very unlikely",IF(AL131&lt;25,"unlikely, probably not",IF(AL131&lt;75,"possibly, may (not)",IF(AL131&lt;95,"likely, probable",IF(AL131&lt;99,"very likely","almost certainly"))))))</f>
        <v>#DIV/0!</v>
      </c>
      <c r="AO132" s="235"/>
      <c r="AP132" s="242"/>
      <c r="AQ132" s="24" t="str">
        <f>IF(AQ131&lt;1,"almost certainly not",IF(AQ131&lt;5,"very unlikely",IF(AQ131&lt;25,"unlikely, probably not",IF(AQ131&lt;75,"possibly, may (not)",IF(AQ131&lt;95,"likely, probable",IF(AQ131&lt;99,"very likely","almost certainly"))))))</f>
        <v>very unlikely</v>
      </c>
      <c r="AR132"/>
      <c r="AS132"/>
      <c r="AT132" s="235"/>
      <c r="AU132" s="242"/>
      <c r="AV132" s="24" t="str">
        <f>IF(AV131&lt;1,"almost certainly not",IF(AV131&lt;5,"very unlikely",IF(AV131&lt;25,"unlikely, probably not",IF(AV131&lt;75,"possibly, may (not)",IF(AV131&lt;95,"likely, probable",IF(AV131&lt;99,"very likely","almost certainly"))))))</f>
        <v>likely, probable</v>
      </c>
      <c r="AW132" s="24" t="str">
        <f>IF(AW131&lt;1,"almost certainly not",IF(AW131&lt;5,"very unlikely",IF(AW131&lt;25,"unlikely, probably not",IF(AW131&lt;75,"possibly, may (not)",IF(AW131&lt;95,"likely, probable",IF(AW131&lt;99,"very likely","almost certainly"))))))</f>
        <v>possibly, may (not)</v>
      </c>
      <c r="AX132" s="24" t="str">
        <f>IF(AX131&lt;1,"almost certainly not",IF(AX131&lt;5,"very unlikely",IF(AX131&lt;25,"unlikely, probably not",IF(AX131&lt;75,"possibly, may (not)",IF(AX131&lt;95,"likely, probable",IF(AX131&lt;99,"very likely","almost certainly"))))))</f>
        <v>almost certainly not</v>
      </c>
      <c r="AY132" s="24" t="e">
        <f>IF(AY131&lt;1,"almost certainly not",IF(AY131&lt;5,"very unlikely",IF(AY131&lt;25,"unlikely, probably not",IF(AY131&lt;75,"possibly, may (not)",IF(AY131&lt;95,"likely, probable",IF(AY131&lt;99,"very likely","almost certainly"))))))</f>
        <v>#DIV/0!</v>
      </c>
      <c r="BB132" s="235"/>
      <c r="BC132" s="242"/>
      <c r="BD132" s="24" t="str">
        <f>IF(BD131&lt;1,"almost certainly not",IF(BD131&lt;5,"very unlikely",IF(BD131&lt;25,"unlikely, probably not",IF(BD131&lt;75,"possibly, may (not)",IF(BD131&lt;95,"likely, probable",IF(BD131&lt;99,"very likely","almost certainly"))))))</f>
        <v>very unlikely</v>
      </c>
      <c r="BE132"/>
      <c r="BF132"/>
      <c r="BG132" s="235"/>
      <c r="BH132" s="242"/>
      <c r="BI132" s="24" t="str">
        <f>IF(BI131&lt;1,"almost certainly not",IF(BI131&lt;5,"very unlikely",IF(BI131&lt;25,"unlikely, probably not",IF(BI131&lt;75,"possibly, may (not)",IF(BI131&lt;95,"likely, probable",IF(BI131&lt;99,"very likely","almost certainly"))))))</f>
        <v>likely, probable</v>
      </c>
      <c r="BJ132" s="24" t="str">
        <f>IF(BJ131&lt;1,"almost certainly not",IF(BJ131&lt;5,"very unlikely",IF(BJ131&lt;25,"unlikely, probably not",IF(BJ131&lt;75,"possibly, may (not)",IF(BJ131&lt;95,"likely, probable",IF(BJ131&lt;99,"very likely","almost certainly"))))))</f>
        <v>possibly, may (not)</v>
      </c>
      <c r="BK132" s="24" t="str">
        <f>IF(BK131&lt;1,"almost certainly not",IF(BK131&lt;5,"very unlikely",IF(BK131&lt;25,"unlikely, probably not",IF(BK131&lt;75,"possibly, may (not)",IF(BK131&lt;95,"likely, probable",IF(BK131&lt;99,"very likely","almost certainly"))))))</f>
        <v>almost certainly not</v>
      </c>
      <c r="BL132" s="24" t="e">
        <f>IF(BL131&lt;1,"almost certainly not",IF(BL131&lt;5,"very unlikely",IF(BL131&lt;25,"unlikely, probably not",IF(BL131&lt;75,"possibly, may (not)",IF(BL131&lt;95,"likely, probable",IF(BL131&lt;99,"very likely","almost certainly"))))))</f>
        <v>#DIV/0!</v>
      </c>
    </row>
    <row r="133" spans="2:64" ht="12.75">
      <c r="B133" s="142"/>
      <c r="C133" s="76" t="s">
        <v>46</v>
      </c>
      <c r="D133" s="78">
        <f>I133</f>
        <v>2.1462190965175325</v>
      </c>
      <c r="G133" s="77"/>
      <c r="H133" s="76" t="s">
        <v>46</v>
      </c>
      <c r="I133" s="78">
        <f>D79</f>
        <v>2.1462190965175325</v>
      </c>
      <c r="J133" s="78">
        <f>I133</f>
        <v>2.1462190965175325</v>
      </c>
      <c r="K133" s="78">
        <f>J133</f>
        <v>2.1462190965175325</v>
      </c>
      <c r="L133" s="78">
        <f>K133</f>
        <v>2.1462190965175325</v>
      </c>
      <c r="O133" s="25"/>
      <c r="P133" s="49"/>
      <c r="Q133" s="50"/>
      <c r="T133" s="40"/>
      <c r="U133" s="27"/>
      <c r="V133" s="27"/>
      <c r="W133" s="27"/>
      <c r="X133" s="41"/>
      <c r="Y133" s="41"/>
      <c r="AB133" s="25"/>
      <c r="AC133" s="30" t="s">
        <v>118</v>
      </c>
      <c r="AD133" s="23">
        <f>AI133</f>
        <v>53.84453781512606</v>
      </c>
      <c r="AG133" s="25"/>
      <c r="AH133" s="30" t="s">
        <v>118</v>
      </c>
      <c r="AI133" s="167">
        <f>AD78</f>
        <v>53.84453781512606</v>
      </c>
      <c r="AJ133" s="39">
        <f aca="true" t="shared" si="93" ref="AJ133:AL134">AI133</f>
        <v>53.84453781512606</v>
      </c>
      <c r="AK133" s="39">
        <f t="shared" si="93"/>
        <v>53.84453781512606</v>
      </c>
      <c r="AL133" s="39">
        <f t="shared" si="93"/>
        <v>53.84453781512606</v>
      </c>
      <c r="AO133" s="25"/>
      <c r="AP133" s="30" t="s">
        <v>111</v>
      </c>
      <c r="AQ133" s="54">
        <f>AV133</f>
        <v>12.024881862344243</v>
      </c>
      <c r="AT133" s="25"/>
      <c r="AU133" s="30" t="s">
        <v>111</v>
      </c>
      <c r="AV133" s="162">
        <f>AQ80</f>
        <v>12.024881862344243</v>
      </c>
      <c r="AW133" s="168">
        <f>AV133</f>
        <v>12.024881862344243</v>
      </c>
      <c r="AX133" s="168">
        <f>AW133</f>
        <v>12.024881862344243</v>
      </c>
      <c r="AY133" s="168">
        <f>AX133</f>
        <v>12.024881862344243</v>
      </c>
      <c r="BB133" s="25"/>
      <c r="BC133" s="30" t="s">
        <v>111</v>
      </c>
      <c r="BD133" s="165">
        <f>BI133</f>
        <v>12.037787414862331</v>
      </c>
      <c r="BG133" s="25"/>
      <c r="BH133" s="30" t="s">
        <v>111</v>
      </c>
      <c r="BI133" s="178">
        <f>BD80</f>
        <v>12.037787414862331</v>
      </c>
      <c r="BJ133" s="169">
        <f>BI133</f>
        <v>12.037787414862331</v>
      </c>
      <c r="BK133" s="169">
        <f>BJ133</f>
        <v>12.037787414862331</v>
      </c>
      <c r="BL133" s="169">
        <f>BK133</f>
        <v>12.037787414862331</v>
      </c>
    </row>
    <row r="134" spans="2:64" ht="12.75">
      <c r="B134" s="44"/>
      <c r="C134" s="43" t="s">
        <v>189</v>
      </c>
      <c r="D134" s="84">
        <f>D112/D133</f>
        <v>0.5876975111314106</v>
      </c>
      <c r="G134" s="44"/>
      <c r="H134" s="45" t="s">
        <v>32</v>
      </c>
      <c r="I134" s="84">
        <f>I112/I133</f>
        <v>0.43304187935493205</v>
      </c>
      <c r="J134" s="84">
        <f>J112/J133</f>
        <v>0.4430724717035816</v>
      </c>
      <c r="K134" s="84">
        <f>K112/K133</f>
        <v>0.4406669087670349</v>
      </c>
      <c r="L134" s="84" t="e">
        <f>L112/L133</f>
        <v>#DIV/0!</v>
      </c>
      <c r="O134" s="25"/>
      <c r="P134" s="43" t="s">
        <v>188</v>
      </c>
      <c r="Q134" s="84">
        <f>EXP(Q178/100)</f>
        <v>1.1354815165781382</v>
      </c>
      <c r="T134" s="25"/>
      <c r="U134" s="43" t="s">
        <v>36</v>
      </c>
      <c r="V134" s="84">
        <f aca="true" t="shared" si="94" ref="V134:Y136">EXP(V178/100)</f>
        <v>1.087000255258689</v>
      </c>
      <c r="W134" s="84">
        <f t="shared" si="94"/>
        <v>1.1008296176178605</v>
      </c>
      <c r="X134" s="84">
        <f t="shared" si="94"/>
        <v>1.0839102873475652</v>
      </c>
      <c r="Y134" s="84" t="e">
        <f t="shared" si="94"/>
        <v>#DIV/0!</v>
      </c>
      <c r="AA134" s="41"/>
      <c r="AB134" s="25"/>
      <c r="AC134" s="30" t="s">
        <v>117</v>
      </c>
      <c r="AD134" s="170">
        <f>AI134</f>
        <v>12.1</v>
      </c>
      <c r="AG134" s="25"/>
      <c r="AH134" s="30" t="s">
        <v>117</v>
      </c>
      <c r="AI134" s="170">
        <f>PERCENTILE(allraw,AI133/100)</f>
        <v>12.1</v>
      </c>
      <c r="AJ134" s="170">
        <f t="shared" si="93"/>
        <v>12.1</v>
      </c>
      <c r="AK134" s="170">
        <f t="shared" si="93"/>
        <v>12.1</v>
      </c>
      <c r="AL134" s="170">
        <f t="shared" si="93"/>
        <v>12.1</v>
      </c>
      <c r="AO134" s="25"/>
      <c r="AP134" s="38" t="s">
        <v>28</v>
      </c>
      <c r="AQ134" s="87">
        <f>((SQRT(AQ133)+AQ85+AQ178)^2-(SQRT(AQ133)+AQ85-AQ178)^2)/2</f>
        <v>1.3984177592958185</v>
      </c>
      <c r="AT134" s="25"/>
      <c r="AU134" s="38" t="s">
        <v>28</v>
      </c>
      <c r="AV134" s="87">
        <f>((SQRT(AV133)+AV85+AV178)^2-(SQRT(AV133)+AV85-AV178)^2)/2</f>
        <v>0.8963441834046684</v>
      </c>
      <c r="AW134" s="87">
        <f>((SQRT(AW133)+AW85+AW178)^2-(SQRT(AW133)+AW85-AW178)^2)/2</f>
        <v>1.0166119144597534</v>
      </c>
      <c r="AX134" s="87">
        <f>((SQRT(AX133)+AX85+AX178)^2-(SQRT(AX133)+AX85-AX178)^2)/2</f>
        <v>0.9547745889368588</v>
      </c>
      <c r="AY134" s="87" t="e">
        <f>((SQRT(AY133)+AY85+AY178)^2-(SQRT(AY133)+AY85-AY178)^2)/2</f>
        <v>#DIV/0!</v>
      </c>
      <c r="BB134" s="25"/>
      <c r="BC134" s="38" t="s">
        <v>28</v>
      </c>
      <c r="BD134" s="87">
        <f>100*(SIN(ASIN(SQRT(BD133/100))+BD85+BD178)^2-SIN(ASIN(SQRT(BD133/100))+BD85-BD178)^2)/2</f>
        <v>1.3817583558738633</v>
      </c>
      <c r="BG134" s="25"/>
      <c r="BH134" s="38" t="s">
        <v>28</v>
      </c>
      <c r="BI134" s="87">
        <f>100*(SIN(ASIN(SQRT(BI133/100))+BI85+BI178)^2-SIN(ASIN(SQRT(BI133/100))+BI85-BI178)^2)/2</f>
        <v>0.9001559225701943</v>
      </c>
      <c r="BJ134" s="87">
        <f>100*(SIN(ASIN(SQRT(BJ133/100))+BJ85+BJ178)^2-SIN(ASIN(SQRT(BJ133/100))+BJ85-BJ178)^2)/2</f>
        <v>1.0088512577606574</v>
      </c>
      <c r="BK134" s="87">
        <f>100*(SIN(ASIN(SQRT(BK133/100))+BK85+BK178)^2-SIN(ASIN(SQRT(BK133/100))+BK85-BK178)^2)/2</f>
        <v>0.9542262910724748</v>
      </c>
      <c r="BL134" s="87" t="e">
        <f>100*(SIN(ASIN(SQRT(BL133/100))+BL85+BL178)^2-SIN(ASIN(SQRT(BL133/100))+BL85-BL178)^2)/2</f>
        <v>#DIV/0!</v>
      </c>
    </row>
    <row r="135" spans="2:64" ht="12.75" customHeight="1">
      <c r="B135" s="226" t="str">
        <f>CONCATENATE(TEXT($E$20,"0"),"% confidence
limits (approx.)")</f>
        <v>90% confidence
limits (approx.)</v>
      </c>
      <c r="C135" s="26" t="s">
        <v>19</v>
      </c>
      <c r="D135" s="85">
        <f>D113/D133</f>
        <v>-0.661530681257512</v>
      </c>
      <c r="G135" s="226" t="str">
        <f>CONCATENATE(TEXT($E$20,"0"),"% confidence
limits (approx.)")</f>
        <v>90% confidence
limits (approx.)</v>
      </c>
      <c r="H135" s="26" t="s">
        <v>19</v>
      </c>
      <c r="I135" s="85">
        <f>I113/I133</f>
        <v>0.17357778313477368</v>
      </c>
      <c r="J135" s="85">
        <f>J113/J133</f>
        <v>-0.26235185055155213</v>
      </c>
      <c r="K135" s="85">
        <f>K113/K133</f>
        <v>-0.2661795820950374</v>
      </c>
      <c r="L135" s="85" t="e">
        <f>L113/L133</f>
        <v>#DIV/0!</v>
      </c>
      <c r="O135" s="226" t="str">
        <f>CONCATENATE(TEXT($E$20,"0"),"% confidence
limits (approx.)")</f>
        <v>90% confidence
limits (approx.)</v>
      </c>
      <c r="P135" s="26" t="s">
        <v>19</v>
      </c>
      <c r="Q135" s="84">
        <f>EXP(Q179/100)</f>
        <v>0.9020179433444816</v>
      </c>
      <c r="T135" s="226" t="str">
        <f>CONCATENATE(TEXT($E$20,"0"),"% confidence
limits (approx.)")</f>
        <v>90% confidence
limits (approx.)</v>
      </c>
      <c r="U135" s="26" t="s">
        <v>19</v>
      </c>
      <c r="V135" s="84">
        <f t="shared" si="94"/>
        <v>1.0374649437826813</v>
      </c>
      <c r="W135" s="84">
        <f t="shared" si="94"/>
        <v>0.9966882300855073</v>
      </c>
      <c r="X135" s="84">
        <f t="shared" si="94"/>
        <v>0.9564946798743935</v>
      </c>
      <c r="Y135" s="84" t="e">
        <f t="shared" si="94"/>
        <v>#DIV/0!</v>
      </c>
      <c r="AB135" s="25"/>
      <c r="AC135" s="38" t="s">
        <v>28</v>
      </c>
      <c r="AD135" s="87">
        <f>(PERCENTILE(allraw,(AD133+AD85+AD178)/100)-PERCENTILE(allraw,(AD133+AD85-AD178)/100))/2</f>
        <v>0.8997825200872365</v>
      </c>
      <c r="AG135" s="25"/>
      <c r="AH135" s="38" t="s">
        <v>28</v>
      </c>
      <c r="AI135" s="87">
        <f>(PERCENTILE(allraw,(AI133+AI85+AI178)/100)-PERCENTILE(allraw,(AI133+AI85-AI178)/100))/2</f>
        <v>0.8499999999999996</v>
      </c>
      <c r="AJ135" s="87">
        <f>(PERCENTILE(allraw,(AJ133+AJ85+AJ178)/100)-PERCENTILE(allraw,(AJ133+AJ85-AJ178)/100))/2</f>
        <v>1.0499999999999998</v>
      </c>
      <c r="AK135" s="87">
        <f>(PERCENTILE(allraw,(AK133+AK85+AK178)/100)-PERCENTILE(allraw,(AK133+AK85-AK178)/100))/2</f>
        <v>0.5136596066894032</v>
      </c>
      <c r="AL135" s="87" t="e">
        <f>(PERCENTILE(allraw,(AL133+AL85+AL178)/100)-PERCENTILE(allraw,(AL133+AL85-AL178)/100))/2</f>
        <v>#DIV/0!</v>
      </c>
      <c r="AO135" s="226" t="str">
        <f>CONCATENATE(TEXT($E$20,"0"),"% confidence
limits (approx.)")</f>
        <v>90% confidence
limits (approx.)</v>
      </c>
      <c r="AP135" s="26" t="s">
        <v>19</v>
      </c>
      <c r="AQ135" s="88">
        <f>((SQRT(AQ133)+AQ85+AQ179)^2-(SQRT(AQ133)+AQ85-AQ179)^2)/2</f>
        <v>-1.3435959537129376</v>
      </c>
      <c r="AT135" s="226" t="str">
        <f>CONCATENATE(TEXT($E$20,"0"),"% confidence
limits (approx.)")</f>
        <v>90% confidence
limits (approx.)</v>
      </c>
      <c r="AU135" s="26" t="s">
        <v>19</v>
      </c>
      <c r="AV135" s="88">
        <f>((SQRT(AV133)+AV85+AV179)^2-(SQRT(AV133)+AV85-AV179)^2)/2</f>
        <v>0.36750353213192977</v>
      </c>
      <c r="AW135" s="88">
        <f>((SQRT(AW133)+AW85+AW179)^2-(SQRT(AW133)+AW85-AW179)^2)/2</f>
        <v>-0.3816244267013662</v>
      </c>
      <c r="AX135" s="88">
        <f>((SQRT(AX133)+AX85+AX179)^2-(SQRT(AX133)+AX85-AX179)^2)/2</f>
        <v>-0.5797756100343925</v>
      </c>
      <c r="AY135" s="88" t="e">
        <f>((SQRT(AY133)+AY85+AY179)^2-(SQRT(AY133)+AY85-AY179)^2)/2</f>
        <v>#DIV/0!</v>
      </c>
      <c r="BB135" s="226" t="str">
        <f>CONCATENATE(TEXT($E$20,"0"),"% confidence
limits (approx.)")</f>
        <v>90% confidence
limits (approx.)</v>
      </c>
      <c r="BC135" s="26" t="s">
        <v>19</v>
      </c>
      <c r="BD135" s="88">
        <f>100*(SIN(ASIN(SQRT(BD133/100))+BD85+BD179)^2-SIN(ASIN(SQRT(BD133/100))+BD85-BD179)^2)/2</f>
        <v>-1.3549964054742827</v>
      </c>
      <c r="BG135" s="226" t="str">
        <f>CONCATENATE(TEXT($E$20,"0"),"% confidence
limits (approx.)")</f>
        <v>90% confidence
limits (approx.)</v>
      </c>
      <c r="BH135" s="26" t="s">
        <v>19</v>
      </c>
      <c r="BI135" s="88">
        <f>100*(SIN(ASIN(SQRT(BI133/100))+BI85+BI179)^2-SIN(ASIN(SQRT(BI133/100))+BI85-BI179)^2)/2</f>
        <v>0.36741039998694003</v>
      </c>
      <c r="BJ135" s="88">
        <f>100*(SIN(ASIN(SQRT(BJ133/100))+BJ85+BJ179)^2-SIN(ASIN(SQRT(BJ133/100))+BJ85-BJ179)^2)/2</f>
        <v>-0.41002494128291256</v>
      </c>
      <c r="BK135" s="88">
        <f>100*(SIN(ASIN(SQRT(BK133/100))+BK85+BK179)^2-SIN(ASIN(SQRT(BK133/100))+BK85-BK179)^2)/2</f>
        <v>-0.5787100548008677</v>
      </c>
      <c r="BL135" s="88" t="e">
        <f>100*(SIN(ASIN(SQRT(BL133/100))+BL85+BL179)^2-SIN(ASIN(SQRT(BL133/100))+BL85-BL179)^2)/2</f>
        <v>#DIV/0!</v>
      </c>
    </row>
    <row r="136" spans="2:64" ht="12.75" customHeight="1">
      <c r="B136" s="227"/>
      <c r="C136" s="15" t="s">
        <v>20</v>
      </c>
      <c r="D136" s="86">
        <f>D114/D133</f>
        <v>1.0622615362636152</v>
      </c>
      <c r="G136" s="227"/>
      <c r="H136" s="15" t="s">
        <v>20</v>
      </c>
      <c r="I136" s="86">
        <f>I114/I133</f>
        <v>0.5873000014920146</v>
      </c>
      <c r="J136" s="86">
        <f>J114/J133</f>
        <v>0.6793047356311201</v>
      </c>
      <c r="K136" s="86">
        <f>K114/K133</f>
        <v>0.6776623192187071</v>
      </c>
      <c r="L136" s="86" t="e">
        <f>L114/L133</f>
        <v>#DIV/0!</v>
      </c>
      <c r="O136" s="227"/>
      <c r="P136" s="15" t="s">
        <v>20</v>
      </c>
      <c r="Q136" s="84">
        <f>EXP(Q180/100)</f>
        <v>1.2301957463600623</v>
      </c>
      <c r="T136" s="227"/>
      <c r="U136" s="15" t="s">
        <v>20</v>
      </c>
      <c r="V136" s="84">
        <f t="shared" si="94"/>
        <v>1.1186208051537305</v>
      </c>
      <c r="W136" s="84">
        <f t="shared" si="94"/>
        <v>1.1455623337489818</v>
      </c>
      <c r="X136" s="84">
        <f t="shared" si="94"/>
        <v>1.1301202941078492</v>
      </c>
      <c r="Y136" s="84" t="e">
        <f t="shared" si="94"/>
        <v>#DIV/0!</v>
      </c>
      <c r="AB136" s="226" t="str">
        <f>CONCATENATE(TEXT($E$20,"0"),"% confidence
limits (approx.)")</f>
        <v>90% confidence
limits (approx.)</v>
      </c>
      <c r="AC136" s="26" t="s">
        <v>19</v>
      </c>
      <c r="AD136" s="88">
        <f>(PERCENTILE(allraw,(AD133+AD85+AD179)/100)-PERCENTILE(allraw,(AD133+AD85-AD179)/100))/2</f>
        <v>-1.2234731168384725</v>
      </c>
      <c r="AG136" s="226" t="str">
        <f>CONCATENATE(TEXT($E$20,"0"),"% confidence
limits (approx.)")</f>
        <v>90% confidence
limits (approx.)</v>
      </c>
      <c r="AH136" s="26" t="s">
        <v>19</v>
      </c>
      <c r="AI136" s="88">
        <f>(PERCENTILE(allraw,(AI133+AI85+AI179)/100)-PERCENTILE(allraw,(AI133+AI85-AI179)/100))/2</f>
        <v>0.359357078652943</v>
      </c>
      <c r="AJ136" s="88">
        <f>(PERCENTILE(allraw,(AJ133+AJ85+AJ179)/100)-PERCENTILE(allraw,(AJ133+AJ85-AJ179)/100))/2</f>
        <v>0.30822447596079616</v>
      </c>
      <c r="AK136" s="88">
        <f>(PERCENTILE(allraw,(AK133+AK85+AK179)/100)-PERCENTILE(allraw,(AK133+AK85-AK179)/100))/2</f>
        <v>-0.6104972782210742</v>
      </c>
      <c r="AL136" s="88" t="e">
        <f>(PERCENTILE(allraw,(AL133+AL85+AL179)/100)-PERCENTILE(allraw,(AL133+AL85-AL179)/100))/2</f>
        <v>#DIV/0!</v>
      </c>
      <c r="AO136" s="227"/>
      <c r="AP136" s="15" t="s">
        <v>20</v>
      </c>
      <c r="AQ136" s="93">
        <f>((SQRT(AQ133)+AQ85+AQ180)^2-(SQRT(AQ133)+AQ85-AQ180)^2)/2</f>
        <v>2.3908982717509417</v>
      </c>
      <c r="AT136" s="227"/>
      <c r="AU136" s="15" t="s">
        <v>20</v>
      </c>
      <c r="AV136" s="93">
        <f>((SQRT(AV133)+AV85+AV180)^2-(SQRT(AV133)+AV85-AV180)^2)/2</f>
        <v>1.2131805076398647</v>
      </c>
      <c r="AW136" s="93">
        <f>((SQRT(AW133)+AW85+AW180)^2-(SQRT(AW133)+AW85-AW180)^2)/2</f>
        <v>1.4874934528589323</v>
      </c>
      <c r="AX136" s="93">
        <f>((SQRT(AX133)+AX85+AX180)^2-(SQRT(AX133)+AX85-AX180)^2)/2</f>
        <v>1.46946547742703</v>
      </c>
      <c r="AY136" s="93" t="e">
        <f>((SQRT(AY133)+AY85+AY180)^2-(SQRT(AY133)+AY85-AY180)^2)/2</f>
        <v>#DIV/0!</v>
      </c>
      <c r="BB136" s="227"/>
      <c r="BC136" s="15" t="s">
        <v>20</v>
      </c>
      <c r="BD136" s="93">
        <f>100*(SIN(ASIN(SQRT(BD133/100))+BD85+BD180)^2-SIN(ASIN(SQRT(BD133/100))+BD85-BD180)^2)/2</f>
        <v>2.3765342634956306</v>
      </c>
      <c r="BG136" s="227"/>
      <c r="BH136" s="15" t="s">
        <v>20</v>
      </c>
      <c r="BI136" s="93">
        <f>100*(SIN(ASIN(SQRT(BI133/100))+BI85+BI180)^2-SIN(ASIN(SQRT(BI133/100))+BI85-BI180)^2)/2</f>
        <v>1.218710628264403</v>
      </c>
      <c r="BJ136" s="93">
        <f>100*(SIN(ASIN(SQRT(BJ133/100))+BJ85+BJ180)^2-SIN(ASIN(SQRT(BJ133/100))+BJ85-BJ180)^2)/2</f>
        <v>1.484171234881118</v>
      </c>
      <c r="BK136" s="93">
        <f>100*(SIN(ASIN(SQRT(BK133/100))+BK85+BK180)^2-SIN(ASIN(SQRT(BK133/100))+BK85-BK180)^2)/2</f>
        <v>1.4680357435766975</v>
      </c>
      <c r="BL136" s="93" t="e">
        <f>100*(SIN(ASIN(SQRT(BL133/100))+BL85+BL180)^2-SIN(ASIN(SQRT(BL133/100))+BL85-BL180)^2)/2</f>
        <v>#DIV/0!</v>
      </c>
    </row>
    <row r="137" spans="15:54" ht="24">
      <c r="O137" s="81" t="s">
        <v>10</v>
      </c>
      <c r="AB137" s="227"/>
      <c r="AC137" s="15" t="s">
        <v>20</v>
      </c>
      <c r="AD137" s="93">
        <f>(PERCENTILE(allraw,(AD133+AD85+AD180)/100)-PERCENTILE(allraw,(AD133+AD85-AD180)/100))/2</f>
        <v>1.8801769922298854</v>
      </c>
      <c r="AG137" s="227"/>
      <c r="AH137" s="15" t="s">
        <v>20</v>
      </c>
      <c r="AI137" s="93">
        <f>(PERCENTILE(allraw,(AI133+AI85+AI180)/100)-PERCENTILE(allraw,(AI133+AI85-AI180)/100))/2</f>
        <v>1.174273004819418</v>
      </c>
      <c r="AJ137" s="93">
        <f>(PERCENTILE(allraw,(AJ133+AJ85+AJ180)/100)-PERCENTILE(allraw,(AJ133+AJ85-AJ180)/100))/2</f>
        <v>1.5323249882173329</v>
      </c>
      <c r="AK137" s="93">
        <f>(PERCENTILE(allraw,(AK133+AK85+AK180)/100)-PERCENTILE(allraw,(AK133+AK85-AK180)/100))/2</f>
        <v>0.9881453654167691</v>
      </c>
      <c r="AL137" s="93" t="e">
        <f>(PERCENTILE(allraw,(AL133+AL85+AL180)/100)-PERCENTILE(allraw,(AL133+AL85-AL180)/100))/2</f>
        <v>#DIV/0!</v>
      </c>
      <c r="AO137" s="81" t="s">
        <v>110</v>
      </c>
      <c r="BB137" s="81" t="s">
        <v>128</v>
      </c>
    </row>
    <row r="139" spans="6:64" ht="25.5" customHeight="1">
      <c r="F139" s="27"/>
      <c r="O139" s="253" t="s">
        <v>174</v>
      </c>
      <c r="P139" s="254"/>
      <c r="Q139" s="122" t="str">
        <f>Q23</f>
        <v>Pre</v>
      </c>
      <c r="T139" s="197" t="s">
        <v>31</v>
      </c>
      <c r="U139" s="198"/>
      <c r="V139" s="122" t="str">
        <f>V23</f>
        <v>Post1-Pre</v>
      </c>
      <c r="W139" s="122" t="str">
        <f>W23</f>
        <v>Post2-Pre</v>
      </c>
      <c r="X139" s="122" t="str">
        <f>X23</f>
        <v>Post2-Post1</v>
      </c>
      <c r="Y139" s="122" t="str">
        <f>Y23</f>
        <v>other effect</v>
      </c>
      <c r="AB139" s="253" t="s">
        <v>174</v>
      </c>
      <c r="AC139" s="254"/>
      <c r="AD139" s="122" t="str">
        <f>AD23</f>
        <v>Pre</v>
      </c>
      <c r="AG139" s="197" t="s">
        <v>31</v>
      </c>
      <c r="AH139" s="198"/>
      <c r="AI139" s="122" t="str">
        <f>AI23</f>
        <v>Post1-Pre</v>
      </c>
      <c r="AJ139" s="122" t="str">
        <f>AJ23</f>
        <v>Post2-Pre</v>
      </c>
      <c r="AK139" s="122" t="str">
        <f>AK23</f>
        <v>Post2-Post1</v>
      </c>
      <c r="AL139" s="122" t="str">
        <f>AL23</f>
        <v>other effect</v>
      </c>
      <c r="AO139" s="253" t="s">
        <v>174</v>
      </c>
      <c r="AP139" s="254"/>
      <c r="AQ139" s="122" t="str">
        <f>AQ23</f>
        <v>Pre</v>
      </c>
      <c r="AT139" s="197" t="s">
        <v>31</v>
      </c>
      <c r="AU139" s="198"/>
      <c r="AV139" s="122" t="str">
        <f>AV23</f>
        <v>Post1-Pre</v>
      </c>
      <c r="AW139" s="122" t="str">
        <f>AW23</f>
        <v>Post2-Pre</v>
      </c>
      <c r="AX139" s="122" t="str">
        <f>AX23</f>
        <v>Post2-Post1</v>
      </c>
      <c r="AY139" s="122" t="str">
        <f>AY23</f>
        <v>other effect</v>
      </c>
      <c r="BB139" s="253" t="s">
        <v>174</v>
      </c>
      <c r="BC139" s="254"/>
      <c r="BD139" s="122" t="str">
        <f>BD23</f>
        <v>Pre</v>
      </c>
      <c r="BG139" s="197" t="s">
        <v>31</v>
      </c>
      <c r="BH139" s="198"/>
      <c r="BI139" s="122" t="str">
        <f>BI23</f>
        <v>Post1-Pre</v>
      </c>
      <c r="BJ139" s="122" t="str">
        <f>BJ23</f>
        <v>Post2-Pre</v>
      </c>
      <c r="BK139" s="122" t="str">
        <f>BK23</f>
        <v>Post2-Post1</v>
      </c>
      <c r="BL139" s="122" t="str">
        <f>BL23</f>
        <v>other effect</v>
      </c>
    </row>
    <row r="140" spans="2:64" ht="12.75">
      <c r="B140" s="81" t="s">
        <v>6</v>
      </c>
      <c r="E140" s="135"/>
      <c r="F140" s="27"/>
      <c r="O140" s="25"/>
      <c r="P140" s="60" t="s">
        <v>5</v>
      </c>
      <c r="Q140" s="106">
        <f>Q90</f>
        <v>0.8230030602483565</v>
      </c>
      <c r="T140" s="25"/>
      <c r="U140" s="60" t="s">
        <v>5</v>
      </c>
      <c r="V140" s="62">
        <f>V90</f>
        <v>0.00018676715563604773</v>
      </c>
      <c r="W140" s="62">
        <f>W90</f>
        <v>0.05785837564613804</v>
      </c>
      <c r="X140" s="62">
        <f>X90</f>
        <v>0.16167097462604385</v>
      </c>
      <c r="Y140" s="62" t="e">
        <f>Y90</f>
        <v>#DIV/0!</v>
      </c>
      <c r="AB140" s="25"/>
      <c r="AC140" s="60" t="s">
        <v>5</v>
      </c>
      <c r="AD140" s="106">
        <f>AD90</f>
        <v>0.5342582785184237</v>
      </c>
      <c r="AG140" s="25"/>
      <c r="AH140" s="60" t="s">
        <v>5</v>
      </c>
      <c r="AI140" s="106">
        <f>AI90</f>
        <v>0.0017852229397824137</v>
      </c>
      <c r="AJ140" s="106">
        <f>AJ90</f>
        <v>0.05533210340964405</v>
      </c>
      <c r="AK140" s="106">
        <f>AK90</f>
        <v>0.4581189813578652</v>
      </c>
      <c r="AL140" s="106" t="e">
        <f>AL90</f>
        <v>#DIV/0!</v>
      </c>
      <c r="AO140" s="25"/>
      <c r="AP140" s="60" t="s">
        <v>5</v>
      </c>
      <c r="AQ140" s="106">
        <f>AQ90</f>
        <v>0.772371756694703</v>
      </c>
      <c r="AT140" s="25"/>
      <c r="AU140" s="60" t="s">
        <v>5</v>
      </c>
      <c r="AV140" s="106">
        <f>AV90</f>
        <v>0.00019345866928094564</v>
      </c>
      <c r="AW140" s="106">
        <f>AW90</f>
        <v>0.06282163854920186</v>
      </c>
      <c r="AX140" s="106">
        <f>AX90</f>
        <v>0.17419876716842198</v>
      </c>
      <c r="AY140" s="106" t="e">
        <f>AY90</f>
        <v>#DIV/0!</v>
      </c>
      <c r="BB140" s="25"/>
      <c r="BC140" s="60" t="s">
        <v>5</v>
      </c>
      <c r="BD140" s="106">
        <f>BD90</f>
        <v>0.7668930764412133</v>
      </c>
      <c r="BG140" s="25"/>
      <c r="BH140" s="60" t="s">
        <v>5</v>
      </c>
      <c r="BI140" s="106">
        <f>BI90</f>
        <v>0.0001956434381669854</v>
      </c>
      <c r="BJ140" s="106">
        <f>BJ90</f>
        <v>0.0637642198236975</v>
      </c>
      <c r="BK140" s="106">
        <f>BK90</f>
        <v>0.17515008021004075</v>
      </c>
      <c r="BL140" s="106" t="e">
        <f>BL90</f>
        <v>#DIV/0!</v>
      </c>
    </row>
    <row r="141" spans="6:64" ht="12.75">
      <c r="F141" s="27"/>
      <c r="O141" s="25"/>
      <c r="P141" s="61" t="s">
        <v>18</v>
      </c>
      <c r="Q141" s="23">
        <f>$E$20</f>
        <v>90</v>
      </c>
      <c r="T141" s="25"/>
      <c r="U141" s="61" t="s">
        <v>18</v>
      </c>
      <c r="V141" s="23">
        <f>$E$20</f>
        <v>90</v>
      </c>
      <c r="W141" s="23">
        <f>V141</f>
        <v>90</v>
      </c>
      <c r="X141" s="23">
        <f>W141</f>
        <v>90</v>
      </c>
      <c r="Y141" s="23">
        <f>X141</f>
        <v>90</v>
      </c>
      <c r="AB141" s="25"/>
      <c r="AC141" s="61" t="s">
        <v>18</v>
      </c>
      <c r="AD141" s="23">
        <f>$E$20</f>
        <v>90</v>
      </c>
      <c r="AG141" s="25"/>
      <c r="AH141" s="61" t="s">
        <v>18</v>
      </c>
      <c r="AI141" s="23">
        <f>$E$20</f>
        <v>90</v>
      </c>
      <c r="AJ141" s="23">
        <f>AI141</f>
        <v>90</v>
      </c>
      <c r="AK141" s="23">
        <f>AJ141</f>
        <v>90</v>
      </c>
      <c r="AL141" s="23">
        <f>AK141</f>
        <v>90</v>
      </c>
      <c r="AO141" s="25"/>
      <c r="AP141" s="61" t="s">
        <v>18</v>
      </c>
      <c r="AQ141" s="23">
        <f>$E$20</f>
        <v>90</v>
      </c>
      <c r="AT141" s="25"/>
      <c r="AU141" s="61" t="s">
        <v>18</v>
      </c>
      <c r="AV141" s="23">
        <f>$E$20</f>
        <v>90</v>
      </c>
      <c r="AW141" s="23">
        <f>AV141</f>
        <v>90</v>
      </c>
      <c r="AX141" s="23">
        <f>AW141</f>
        <v>90</v>
      </c>
      <c r="AY141" s="23">
        <f>AX141</f>
        <v>90</v>
      </c>
      <c r="BB141" s="25"/>
      <c r="BC141" s="61" t="s">
        <v>18</v>
      </c>
      <c r="BD141" s="23">
        <f>$E$20</f>
        <v>90</v>
      </c>
      <c r="BG141" s="25"/>
      <c r="BH141" s="61" t="s">
        <v>18</v>
      </c>
      <c r="BI141" s="23">
        <f>$E$20</f>
        <v>90</v>
      </c>
      <c r="BJ141" s="23">
        <f>BI141</f>
        <v>90</v>
      </c>
      <c r="BK141" s="23">
        <f>BJ141</f>
        <v>90</v>
      </c>
      <c r="BL141" s="23">
        <f>BK141</f>
        <v>90</v>
      </c>
    </row>
    <row r="142" spans="2:64" ht="12.75" customHeight="1">
      <c r="B142" s="278" t="s">
        <v>100</v>
      </c>
      <c r="C142" s="279"/>
      <c r="D142" s="143" t="str">
        <f>D23</f>
        <v>Pre</v>
      </c>
      <c r="E142" s="135"/>
      <c r="F142" s="27"/>
      <c r="O142" s="25"/>
      <c r="P142" s="30" t="s">
        <v>30</v>
      </c>
      <c r="Q142" s="39">
        <f>Q91</f>
        <v>36.033286367305585</v>
      </c>
      <c r="T142" s="25"/>
      <c r="U142" s="30" t="s">
        <v>30</v>
      </c>
      <c r="V142" s="39">
        <f>V91</f>
        <v>29.662574188839212</v>
      </c>
      <c r="W142" s="39">
        <f>W91</f>
        <v>32.74640813141246</v>
      </c>
      <c r="X142" s="39">
        <f>X91</f>
        <v>34.76139444273444</v>
      </c>
      <c r="Y142" s="39" t="e">
        <f>Y91</f>
        <v>#DIV/0!</v>
      </c>
      <c r="AB142" s="25"/>
      <c r="AC142" s="30" t="s">
        <v>30</v>
      </c>
      <c r="AD142" s="39">
        <f>AD91</f>
        <v>37.16876697204957</v>
      </c>
      <c r="AG142" s="25"/>
      <c r="AH142" s="30" t="s">
        <v>30</v>
      </c>
      <c r="AI142" s="39">
        <f>AI91</f>
        <v>31.144399579340767</v>
      </c>
      <c r="AJ142" s="39">
        <f>AJ91</f>
        <v>32.37733572808956</v>
      </c>
      <c r="AK142" s="39">
        <f>AK91</f>
        <v>36.678434503376046</v>
      </c>
      <c r="AL142" s="39" t="e">
        <f>AL91</f>
        <v>#DIV/0!</v>
      </c>
      <c r="AO142" s="25"/>
      <c r="AP142" s="30" t="s">
        <v>30</v>
      </c>
      <c r="AQ142" s="39">
        <f>AQ91</f>
        <v>36.536925228691416</v>
      </c>
      <c r="AT142" s="25"/>
      <c r="AU142" s="30" t="s">
        <v>30</v>
      </c>
      <c r="AV142" s="39">
        <f>AV91</f>
        <v>30.181121053002027</v>
      </c>
      <c r="AW142" s="39">
        <f>AW91</f>
        <v>33.8900064349194</v>
      </c>
      <c r="AX142" s="39">
        <f>AX91</f>
        <v>35.013347260782</v>
      </c>
      <c r="AY142" s="39" t="e">
        <f>AY91</f>
        <v>#DIV/0!</v>
      </c>
      <c r="BB142" s="25"/>
      <c r="BC142" s="30" t="s">
        <v>30</v>
      </c>
      <c r="BD142" s="39">
        <f>BD91</f>
        <v>36.593771413389014</v>
      </c>
      <c r="BG142" s="25"/>
      <c r="BH142" s="30" t="s">
        <v>30</v>
      </c>
      <c r="BI142" s="39">
        <f>BI91</f>
        <v>30.210064511508435</v>
      </c>
      <c r="BJ142" s="39">
        <f>BJ91</f>
        <v>34.04451070959678</v>
      </c>
      <c r="BK142" s="39">
        <f>BK91</f>
        <v>35.00972028257318</v>
      </c>
      <c r="BL142" s="39" t="e">
        <f>BL91</f>
        <v>#DIV/0!</v>
      </c>
    </row>
    <row r="143" spans="2:64" ht="12.75">
      <c r="B143" s="25"/>
      <c r="C143" s="43" t="s">
        <v>97</v>
      </c>
      <c r="D143" s="84">
        <f>D72/D45</f>
        <v>1.1858250857962584</v>
      </c>
      <c r="F143" s="27"/>
      <c r="O143" s="25"/>
      <c r="P143" s="47" t="s">
        <v>116</v>
      </c>
      <c r="Q143" s="59">
        <f>Q165/Q155</f>
        <v>0.07213584645486584</v>
      </c>
      <c r="T143" s="25"/>
      <c r="U143" s="47" t="s">
        <v>116</v>
      </c>
      <c r="V143" s="59">
        <f>V165/V155</f>
        <v>-0.5951577546978806</v>
      </c>
      <c r="W143" s="59">
        <f>W165/W155</f>
        <v>-0.3624478315405687</v>
      </c>
      <c r="X143" s="59">
        <f>X165/X155</f>
        <v>0.2567513472087347</v>
      </c>
      <c r="Y143" s="59" t="e">
        <f>Y165/Y155</f>
        <v>#DIV/0!</v>
      </c>
      <c r="AB143" s="25"/>
      <c r="AC143" s="47" t="s">
        <v>116</v>
      </c>
      <c r="AD143" s="59">
        <f>AD165/AD155</f>
        <v>0.19994940336283243</v>
      </c>
      <c r="AG143" s="25"/>
      <c r="AH143" s="75" t="s">
        <v>116</v>
      </c>
      <c r="AI143" s="59">
        <f>AI165/AI155</f>
        <v>-0.49340032628382297</v>
      </c>
      <c r="AJ143" s="59">
        <f>AJ165/AJ155</f>
        <v>-0.3922521237496528</v>
      </c>
      <c r="AK143" s="59">
        <f>AK165/AK155</f>
        <v>0.13461190427077446</v>
      </c>
      <c r="AL143" s="59" t="e">
        <f>AL165/AL155</f>
        <v>#DIV/0!</v>
      </c>
      <c r="AO143" s="25"/>
      <c r="AP143" s="47" t="s">
        <v>116</v>
      </c>
      <c r="AQ143" s="59">
        <f>AQ165/AQ155</f>
        <v>0.09325836990956375</v>
      </c>
      <c r="AT143" s="25"/>
      <c r="AU143" s="75" t="s">
        <v>116</v>
      </c>
      <c r="AV143" s="59">
        <f>AV165/AQ79</f>
        <v>-0.5805683217972376</v>
      </c>
      <c r="AW143" s="59">
        <f>AW165/AQ79</f>
        <v>-0.3542009379554822</v>
      </c>
      <c r="AX143" s="59">
        <f>AX165/AQ79</f>
        <v>0.25105861667131685</v>
      </c>
      <c r="AY143" s="59" t="e">
        <f>AY165/AQ79</f>
        <v>#DIV/0!</v>
      </c>
      <c r="BB143" s="25"/>
      <c r="BC143" s="47" t="s">
        <v>116</v>
      </c>
      <c r="BD143" s="59">
        <f>BD165/BD155</f>
        <v>0.09556536709092533</v>
      </c>
      <c r="BG143" s="25"/>
      <c r="BH143" s="75" t="s">
        <v>116</v>
      </c>
      <c r="BI143" s="59">
        <f>BI165/BD79</f>
        <v>-0.5793449670081896</v>
      </c>
      <c r="BJ143" s="59">
        <f>BJ165/BD79</f>
        <v>-0.35291957818361025</v>
      </c>
      <c r="BK143" s="59">
        <f>BK165/BD79</f>
        <v>0.25116803690485645</v>
      </c>
      <c r="BL143" s="59" t="e">
        <f>BL165/BD79</f>
        <v>#DIV/0!</v>
      </c>
    </row>
    <row r="144" spans="2:64" ht="12.75" customHeight="1">
      <c r="B144" s="234" t="str">
        <f>CONCATENATE(TEXT($E$20,"0"),"% confidence
limits")</f>
        <v>90% confidence
limits</v>
      </c>
      <c r="C144" s="26" t="s">
        <v>19</v>
      </c>
      <c r="D144" s="85">
        <f>SQRT(FINV((1-(100-$E$20)/100/2),COUNT(D24:D43)-1,COUNT(D51:D70)-1))*D143</f>
        <v>0.8053148090857765</v>
      </c>
      <c r="E144" s="65"/>
      <c r="F144" s="27"/>
      <c r="O144" s="243" t="str">
        <f>CONCATENATE(TEXT($E$20,"0"),"% confidence
limits")</f>
        <v>90% confidence
limits</v>
      </c>
      <c r="P144" s="51" t="s">
        <v>19</v>
      </c>
      <c r="Q144" s="85">
        <f>Q143-TINV((100-Q141)/100,Q142)*ABS(Q143)/TINV(Q140,Q142)</f>
        <v>-0.4683659910840574</v>
      </c>
      <c r="T144" s="243" t="str">
        <f>CONCATENATE(TEXT($E$20,"0"),"% confidence
limits")</f>
        <v>90% confidence
limits</v>
      </c>
      <c r="U144" s="51" t="s">
        <v>19</v>
      </c>
      <c r="V144" s="85">
        <f>V143-TINV((100-V141)/100,V142)*ABS(V143)/TINV(V140,V142)</f>
        <v>-0.8315267319309009</v>
      </c>
      <c r="W144" s="85">
        <f>W143-TINV((100-W141)/100,W142)*ABS(W143)/TINV(W140,W142)</f>
        <v>-0.6745102605114872</v>
      </c>
      <c r="X144" s="85">
        <f>X143-TINV((100-X141)/100,X142)*ABS(X143)/TINV(X140,X142)</f>
        <v>-0.046719828066625835</v>
      </c>
      <c r="Y144" s="85" t="e">
        <f>Y143-TINV((100-Y141)/100,Y142)*ABS(Y143)/TINV(Y140,Y142)</f>
        <v>#DIV/0!</v>
      </c>
      <c r="AB144" s="243" t="str">
        <f>CONCATENATE(TEXT($E$20,"0"),"% confidence
limits")</f>
        <v>90% confidence
limits</v>
      </c>
      <c r="AC144" s="51" t="s">
        <v>19</v>
      </c>
      <c r="AD144" s="85">
        <f>AD143-TINV((100-AD141)/100,AD142)*ABS(AD143)/TINV(AD140,AD142)</f>
        <v>-0.3377302003743554</v>
      </c>
      <c r="AG144" s="255" t="str">
        <f>CONCATENATE(TEXT($E$20,"0"),"% confidence
limits")</f>
        <v>90% confidence
limits</v>
      </c>
      <c r="AH144" s="51" t="s">
        <v>19</v>
      </c>
      <c r="AI144" s="85">
        <f>AI166/AD79</f>
        <v>-0.738178560596863</v>
      </c>
      <c r="AJ144" s="85">
        <f>AJ166/AD79</f>
        <v>-0.7263400040613283</v>
      </c>
      <c r="AK144" s="85">
        <f>AK166/AD79</f>
        <v>-0.16840153859686116</v>
      </c>
      <c r="AL144" s="85" t="e">
        <f>AL166/AD79</f>
        <v>#DIV/0!</v>
      </c>
      <c r="AO144" s="243" t="str">
        <f>CONCATENATE(TEXT($E$20,"0"),"% confidence
limits")</f>
        <v>90% confidence
limits</v>
      </c>
      <c r="AP144" s="51" t="s">
        <v>19</v>
      </c>
      <c r="AQ144" s="85">
        <f>AQ143-TINV((100-AQ141)/100,AQ142)*ABS(AQ143)/TINV(AQ140,AQ142)</f>
        <v>-0.4469433532397598</v>
      </c>
      <c r="AT144" s="273" t="str">
        <f>CONCATENATE(TEXT($E$20,"0"),"% confidence
limits")</f>
        <v>90% confidence
limits</v>
      </c>
      <c r="AU144" s="51" t="s">
        <v>19</v>
      </c>
      <c r="AV144" s="85">
        <f>AV166/AQ79</f>
        <v>-0.8126580376562332</v>
      </c>
      <c r="AW144" s="85">
        <f>AW166/AQ79</f>
        <v>-0.6655166430801446</v>
      </c>
      <c r="AX144" s="85">
        <f>AX166/AQ79</f>
        <v>-0.05475872121047788</v>
      </c>
      <c r="AY144" s="85" t="e">
        <f>AY166/AQ79</f>
        <v>#DIV/0!</v>
      </c>
      <c r="BB144" s="243" t="str">
        <f>CONCATENATE(TEXT($E$20,"0"),"% confidence
limits")</f>
        <v>90% confidence
limits</v>
      </c>
      <c r="BC144" s="51" t="s">
        <v>19</v>
      </c>
      <c r="BD144" s="85">
        <f>BD143-TINV((100-BD141)/100,BD142)*ABS(BD143)/TINV(BD140,BD142)</f>
        <v>-0.444600482361622</v>
      </c>
      <c r="BG144" s="273" t="str">
        <f>CONCATENATE(TEXT($E$20,"0"),"% confidence
limits")</f>
        <v>90% confidence
limits</v>
      </c>
      <c r="BH144" s="51" t="s">
        <v>19</v>
      </c>
      <c r="BI144" s="85">
        <f>BI166/BD79</f>
        <v>-0.8111363010653694</v>
      </c>
      <c r="BJ144" s="85">
        <f>BJ166/BD79</f>
        <v>-0.664331325009992</v>
      </c>
      <c r="BK144" s="85">
        <f>BK166/BD79</f>
        <v>-0.055476275077331196</v>
      </c>
      <c r="BL144" s="85" t="e">
        <f>BL166/BD79</f>
        <v>#DIV/0!</v>
      </c>
    </row>
    <row r="145" spans="2:64" ht="24">
      <c r="B145" s="276"/>
      <c r="C145" s="15" t="s">
        <v>20</v>
      </c>
      <c r="D145" s="86">
        <f>SQRT(FINV((100-$E$20)/100/2,COUNT(D24:D43)-1,COUNT(D51:D70)-1))*D143</f>
        <v>1.7461247530624702</v>
      </c>
      <c r="E145" s="90"/>
      <c r="F145" s="27"/>
      <c r="O145" s="244"/>
      <c r="P145" s="51" t="s">
        <v>20</v>
      </c>
      <c r="Q145" s="86">
        <f>Q143+TINV((100-Q141)/100,Q142)*ABS(Q143)/TINV(Q140,Q142)</f>
        <v>0.612637683993789</v>
      </c>
      <c r="T145" s="244"/>
      <c r="U145" s="51" t="s">
        <v>20</v>
      </c>
      <c r="V145" s="86">
        <f>V143+TINV((100-V141)/100,V142)*ABS(V143)/TINV(V140,V142)</f>
        <v>-0.35878877746486026</v>
      </c>
      <c r="W145" s="86">
        <f>W143+TINV((100-W141)/100,W142)*ABS(W143)/TINV(W140,W142)</f>
        <v>-0.05038540256965013</v>
      </c>
      <c r="X145" s="86">
        <f>X143+TINV((100-X141)/100,X142)*ABS(X143)/TINV(X140,X142)</f>
        <v>0.5602225224840953</v>
      </c>
      <c r="Y145" s="86" t="e">
        <f>Y143+TINV((100-Y141)/100,Y142)*ABS(Y143)/TINV(Y140,Y142)</f>
        <v>#DIV/0!</v>
      </c>
      <c r="AB145" s="244"/>
      <c r="AC145" s="51" t="s">
        <v>20</v>
      </c>
      <c r="AD145" s="86">
        <f>AD143+TINV((100-AD141)/100,AD142)*ABS(AD143)/TINV(AD140,AD142)</f>
        <v>0.7376290071000202</v>
      </c>
      <c r="AG145" s="256"/>
      <c r="AH145" s="51" t="s">
        <v>20</v>
      </c>
      <c r="AI145" s="86">
        <f>AI167/AD79</f>
        <v>-0.2486220919707828</v>
      </c>
      <c r="AJ145" s="86">
        <f>AJ167/AD79</f>
        <v>-0.05816424343797728</v>
      </c>
      <c r="AK145" s="86">
        <f>AK167/AD79</f>
        <v>0.43762534713841006</v>
      </c>
      <c r="AL145" s="86" t="e">
        <f>AL167/AD79</f>
        <v>#DIV/0!</v>
      </c>
      <c r="AO145" s="244"/>
      <c r="AP145" s="51" t="s">
        <v>20</v>
      </c>
      <c r="AQ145" s="86">
        <f>AQ143+TINV((100-AQ141)/100,AQ142)*ABS(AQ143)/TINV(AQ140,AQ142)</f>
        <v>0.6334600930588873</v>
      </c>
      <c r="AT145" s="274"/>
      <c r="AU145" s="51" t="s">
        <v>20</v>
      </c>
      <c r="AV145" s="86">
        <f>AV167/AQ79</f>
        <v>-0.3484786059382421</v>
      </c>
      <c r="AW145" s="86">
        <f>AW167/AQ79</f>
        <v>-0.042885232830819874</v>
      </c>
      <c r="AX145" s="86">
        <f>AX167/AQ79</f>
        <v>0.5568759545531116</v>
      </c>
      <c r="AY145" s="86" t="e">
        <f>AY167/AQ79</f>
        <v>#DIV/0!</v>
      </c>
      <c r="BB145" s="244"/>
      <c r="BC145" s="51" t="s">
        <v>20</v>
      </c>
      <c r="BD145" s="86">
        <f>BD143+TINV((100-BD141)/100,BD142)*ABS(BD143)/TINV(BD140,BD142)</f>
        <v>0.6357312165434726</v>
      </c>
      <c r="BG145" s="274"/>
      <c r="BH145" s="51" t="s">
        <v>20</v>
      </c>
      <c r="BI145" s="86">
        <f>BI167/BD79</f>
        <v>-0.34755363295100966</v>
      </c>
      <c r="BJ145" s="86">
        <f>BJ167/BD79</f>
        <v>-0.041507831357228527</v>
      </c>
      <c r="BK145" s="86">
        <f>BK167/BD79</f>
        <v>0.5578123488870441</v>
      </c>
      <c r="BL145" s="86" t="e">
        <f>BL167/BD79</f>
        <v>#DIV/0!</v>
      </c>
    </row>
    <row r="146" spans="2:64" ht="14.25">
      <c r="B146" s="277"/>
      <c r="C146" s="31" t="s">
        <v>21</v>
      </c>
      <c r="D146" s="84">
        <f>SQRT(D145/D144)</f>
        <v>1.4724982649404086</v>
      </c>
      <c r="E146" s="90"/>
      <c r="F146" s="90"/>
      <c r="O146" s="245"/>
      <c r="P146" s="222" t="s">
        <v>21</v>
      </c>
      <c r="Q146" s="94">
        <f>(Q145-Q144)/2</f>
        <v>0.5405018375389232</v>
      </c>
      <c r="T146" s="245"/>
      <c r="U146" s="222" t="s">
        <v>21</v>
      </c>
      <c r="V146" s="94">
        <f>(V145-V144)/2</f>
        <v>0.2363689772330203</v>
      </c>
      <c r="W146" s="94">
        <f>(W145-W144)/2</f>
        <v>0.3120624289709185</v>
      </c>
      <c r="X146" s="94">
        <f>(X145-X144)/2</f>
        <v>0.3034711752753606</v>
      </c>
      <c r="Y146" s="94" t="e">
        <f>(Y145-Y144)/2</f>
        <v>#DIV/0!</v>
      </c>
      <c r="AB146" s="245"/>
      <c r="AC146" s="63" t="s">
        <v>21</v>
      </c>
      <c r="AD146" s="94">
        <f>(AD145-AD144)/2</f>
        <v>0.5376796037371878</v>
      </c>
      <c r="AG146" s="257"/>
      <c r="AH146" s="222" t="s">
        <v>21</v>
      </c>
      <c r="AI146" s="84">
        <f>AI168/AD79</f>
        <v>0.24477823431304013</v>
      </c>
      <c r="AJ146" s="84">
        <f>AJ168/AD79</f>
        <v>0.33408788031167547</v>
      </c>
      <c r="AK146" s="84">
        <f>AK168/AD79</f>
        <v>0.30301344286763565</v>
      </c>
      <c r="AL146" s="84" t="e">
        <f>AL168/AD79</f>
        <v>#DIV/0!</v>
      </c>
      <c r="AO146" s="245"/>
      <c r="AP146" s="222" t="s">
        <v>21</v>
      </c>
      <c r="AQ146" s="94">
        <f>(AQ145-AQ144)/2</f>
        <v>0.5402017231493236</v>
      </c>
      <c r="AT146" s="275"/>
      <c r="AU146" s="222" t="s">
        <v>21</v>
      </c>
      <c r="AV146" s="84">
        <f>AV168/AQ79</f>
        <v>0.23208971585899554</v>
      </c>
      <c r="AW146" s="84">
        <f>AW168/AQ79</f>
        <v>0.31131570512466233</v>
      </c>
      <c r="AX146" s="84">
        <f>AX168/AQ79</f>
        <v>0.3058173378817947</v>
      </c>
      <c r="AY146" s="84" t="e">
        <f>AY168/AQ79</f>
        <v>#DIV/0!</v>
      </c>
      <c r="BB146" s="245"/>
      <c r="BC146" s="222" t="s">
        <v>21</v>
      </c>
      <c r="BD146" s="94">
        <f>(BD145-BD144)/2</f>
        <v>0.5401658494525473</v>
      </c>
      <c r="BG146" s="275"/>
      <c r="BH146" s="222" t="s">
        <v>21</v>
      </c>
      <c r="BI146" s="84">
        <f>BI168/BD79</f>
        <v>0.2317913340571799</v>
      </c>
      <c r="BJ146" s="84">
        <f>BJ168/BD79</f>
        <v>0.31141174682638173</v>
      </c>
      <c r="BK146" s="84">
        <f>BK168/BD79</f>
        <v>0.3066443119821877</v>
      </c>
      <c r="BL146" s="84" t="e">
        <f>BL168/BD79</f>
        <v>#DIV/0!</v>
      </c>
    </row>
    <row r="147" spans="2:64" ht="12.75" customHeight="1">
      <c r="B147" s="233" t="s">
        <v>101</v>
      </c>
      <c r="C147" s="151" t="s">
        <v>102</v>
      </c>
      <c r="D147" s="150">
        <v>1.15</v>
      </c>
      <c r="E147" s="90"/>
      <c r="F147" s="90"/>
      <c r="O147" s="263" t="s">
        <v>98</v>
      </c>
      <c r="P147" s="18" t="s">
        <v>24</v>
      </c>
      <c r="Q147" s="165">
        <f>V147</f>
        <v>0.2</v>
      </c>
      <c r="T147" s="231" t="s">
        <v>22</v>
      </c>
      <c r="U147" s="18" t="s">
        <v>24</v>
      </c>
      <c r="V147" s="164">
        <v>0.2</v>
      </c>
      <c r="W147" s="55">
        <f>V147</f>
        <v>0.2</v>
      </c>
      <c r="X147" s="55">
        <f>W147</f>
        <v>0.2</v>
      </c>
      <c r="Y147" s="55">
        <f>X147</f>
        <v>0.2</v>
      </c>
      <c r="AB147" s="263" t="s">
        <v>98</v>
      </c>
      <c r="AC147" s="18" t="s">
        <v>24</v>
      </c>
      <c r="AD147" s="165">
        <f>AI147</f>
        <v>0.2</v>
      </c>
      <c r="AG147" s="258" t="s">
        <v>22</v>
      </c>
      <c r="AH147" s="102" t="s">
        <v>24</v>
      </c>
      <c r="AI147" s="164">
        <v>0.2</v>
      </c>
      <c r="AJ147" s="55">
        <f>AI147</f>
        <v>0.2</v>
      </c>
      <c r="AK147" s="55">
        <f>AJ147</f>
        <v>0.2</v>
      </c>
      <c r="AL147" s="55">
        <f>AK147</f>
        <v>0.2</v>
      </c>
      <c r="AO147" s="263" t="s">
        <v>98</v>
      </c>
      <c r="AP147" s="18" t="s">
        <v>24</v>
      </c>
      <c r="AQ147" s="147">
        <f>AV147</f>
        <v>0.2</v>
      </c>
      <c r="AT147" s="231" t="s">
        <v>22</v>
      </c>
      <c r="AU147" s="102" t="s">
        <v>24</v>
      </c>
      <c r="AV147" s="53">
        <v>0.2</v>
      </c>
      <c r="AW147" s="53">
        <f>AV147</f>
        <v>0.2</v>
      </c>
      <c r="AX147" s="53">
        <f>AW147</f>
        <v>0.2</v>
      </c>
      <c r="AY147" s="53">
        <f>AX147</f>
        <v>0.2</v>
      </c>
      <c r="BB147" s="263" t="s">
        <v>98</v>
      </c>
      <c r="BC147" s="18" t="s">
        <v>24</v>
      </c>
      <c r="BD147" s="147">
        <f>BI147</f>
        <v>0.2</v>
      </c>
      <c r="BG147" s="231" t="s">
        <v>22</v>
      </c>
      <c r="BH147" s="102" t="s">
        <v>24</v>
      </c>
      <c r="BI147" s="53">
        <v>0.2</v>
      </c>
      <c r="BJ147" s="53">
        <f>BI147</f>
        <v>0.2</v>
      </c>
      <c r="BK147" s="53">
        <f>BJ147</f>
        <v>0.2</v>
      </c>
      <c r="BL147" s="53">
        <f>BK147</f>
        <v>0.2</v>
      </c>
    </row>
    <row r="148" spans="2:64" ht="12.75">
      <c r="B148" s="234"/>
      <c r="C148" s="151" t="s">
        <v>103</v>
      </c>
      <c r="D148" s="150">
        <f>1/D147</f>
        <v>0.8695652173913044</v>
      </c>
      <c r="E148" s="90"/>
      <c r="F148" s="90"/>
      <c r="O148" s="264"/>
      <c r="P148" s="17" t="s">
        <v>25</v>
      </c>
      <c r="Q148" s="55">
        <f>-Q147</f>
        <v>-0.2</v>
      </c>
      <c r="T148" s="232"/>
      <c r="U148" s="17" t="s">
        <v>25</v>
      </c>
      <c r="V148" s="164">
        <f>-V147</f>
        <v>-0.2</v>
      </c>
      <c r="W148" s="55">
        <f>-W147</f>
        <v>-0.2</v>
      </c>
      <c r="X148" s="55">
        <f>-X147</f>
        <v>-0.2</v>
      </c>
      <c r="Y148" s="55">
        <f>-Y147</f>
        <v>-0.2</v>
      </c>
      <c r="AB148" s="264"/>
      <c r="AC148" s="17" t="s">
        <v>25</v>
      </c>
      <c r="AD148" s="55">
        <f>-AD147</f>
        <v>-0.2</v>
      </c>
      <c r="AG148" s="259"/>
      <c r="AH148" s="103" t="s">
        <v>25</v>
      </c>
      <c r="AI148" s="164">
        <f>-AI147</f>
        <v>-0.2</v>
      </c>
      <c r="AJ148" s="55">
        <f>-AJ147</f>
        <v>-0.2</v>
      </c>
      <c r="AK148" s="55">
        <f>-AK147</f>
        <v>-0.2</v>
      </c>
      <c r="AL148" s="55">
        <f>-AL147</f>
        <v>-0.2</v>
      </c>
      <c r="AO148" s="264"/>
      <c r="AP148" s="17" t="s">
        <v>25</v>
      </c>
      <c r="AQ148" s="53">
        <f>-AQ147</f>
        <v>-0.2</v>
      </c>
      <c r="AT148" s="232"/>
      <c r="AU148" s="103" t="s">
        <v>25</v>
      </c>
      <c r="AV148" s="53">
        <f>-AV147</f>
        <v>-0.2</v>
      </c>
      <c r="AW148" s="53">
        <f>-AW147</f>
        <v>-0.2</v>
      </c>
      <c r="AX148" s="53">
        <f>-AX147</f>
        <v>-0.2</v>
      </c>
      <c r="AY148" s="53">
        <f>-AY147</f>
        <v>-0.2</v>
      </c>
      <c r="BB148" s="264"/>
      <c r="BC148" s="17" t="s">
        <v>25</v>
      </c>
      <c r="BD148" s="53">
        <f>-BD147</f>
        <v>-0.2</v>
      </c>
      <c r="BG148" s="232"/>
      <c r="BH148" s="103" t="s">
        <v>25</v>
      </c>
      <c r="BI148" s="53">
        <f>-BI147</f>
        <v>-0.2</v>
      </c>
      <c r="BJ148" s="53">
        <f>-BJ147</f>
        <v>-0.2</v>
      </c>
      <c r="BK148" s="53">
        <f>-BK147</f>
        <v>-0.2</v>
      </c>
      <c r="BL148" s="53">
        <f>-BL147</f>
        <v>-0.2</v>
      </c>
    </row>
    <row r="149" spans="2:64" ht="12.75">
      <c r="B149" s="233" t="s">
        <v>104</v>
      </c>
      <c r="C149" s="287" t="s">
        <v>106</v>
      </c>
      <c r="D149" s="99">
        <f>100*FDIST(1/D143^2*D147^2,COUNT(D24:D43)-1,COUNT(D51:D70)-1)</f>
        <v>55.24920469985635</v>
      </c>
      <c r="E149" s="90"/>
      <c r="F149" s="90"/>
      <c r="O149" s="233" t="s">
        <v>26</v>
      </c>
      <c r="P149" s="236" t="s">
        <v>24</v>
      </c>
      <c r="Q149" s="99">
        <f>IF(ISERROR(TDIST((Q147-Q143)/ABS(Q143)*TINV(Q140,Q142),Q142,1)),1-TDIST((Q143-Q147)/ABS(Q143)*TINV(Q140,Q142),Q142,1),TDIST((Q147-Q143)/ABS(Q143)*TINV(Q140,Q142),Q142,1))*100</f>
        <v>34.598161762206374</v>
      </c>
      <c r="T149" s="233" t="s">
        <v>26</v>
      </c>
      <c r="U149" s="236" t="s">
        <v>24</v>
      </c>
      <c r="V149" s="99">
        <f>IF(ISERROR(TDIST((V147-V143)/ABS(V143)*TINV(V140,V142),V142,1)),1-TDIST((V143-V147)/ABS(V143)*TINV(V140,V142),V142,1),TDIST((V147-V143)/ABS(V143)*TINV(V140,V142),V142,1))*100</f>
        <v>0.00017406375926093973</v>
      </c>
      <c r="W149" s="99">
        <f>IF(ISERROR(TDIST((W147-W143)/ABS(W143)*TINV(W140,W142),W142,1)),1-TDIST((W143-W147)/ABS(W143)*TINV(W140,W142),W142,1),TDIST((W147-W143)/ABS(W143)*TINV(W140,W142),W142,1))*100</f>
        <v>0.22676013916976798</v>
      </c>
      <c r="X149" s="99">
        <f>IF(ISERROR(TDIST((X147-X143)/ABS(X143)*TINV(X140,X142),X142,1)),1-TDIST((X143-X147)/ABS(X143)*TINV(X140,X142),X142,1),TDIST((X147-X143)/ABS(X143)*TINV(X140,X142),X142,1))*100</f>
        <v>62.31137954999764</v>
      </c>
      <c r="Y149" s="99" t="e">
        <f>IF(ISERROR(TDIST((Y147-Y143)/ABS(Y143)*TINV(Y140,Y142),Y142,1)),1-TDIST((Y143-Y147)/ABS(Y143)*TINV(Y140,Y142),Y142,1),TDIST((Y147-Y143)/ABS(Y143)*TINV(Y140,Y142),Y142,1))*100</f>
        <v>#DIV/0!</v>
      </c>
      <c r="AB149" s="233" t="s">
        <v>26</v>
      </c>
      <c r="AC149" s="236" t="s">
        <v>24</v>
      </c>
      <c r="AD149" s="99">
        <f>IF(ISERROR(TDIST((AD147-AD143)/ABS(AD143)*TINV(AD140,AD142),AD142,1)),1-TDIST((AD143-AD147)/ABS(AD143)*TINV(AD140,AD142),AD142,1),TDIST((AD147-AD143)/ABS(AD143)*TINV(AD140,AD142),AD142,1))*100</f>
        <v>49.99370908954605</v>
      </c>
      <c r="AG149" s="260" t="s">
        <v>26</v>
      </c>
      <c r="AH149" s="246" t="s">
        <v>24</v>
      </c>
      <c r="AI149" s="99">
        <f>IF(ISERROR(TDIST((AI147-AI143)/ABS(AI143)*TINV(AI140,AI142),AI142,1)),1-TDIST((AI143-AI147)/ABS(AI143)*TINV(AI140,AI142),AI142,1),TDIST((AI147-AI143)/ABS(AI143)*TINV(AI140,AI142),AI142,1))*100</f>
        <v>0.0018873541883576732</v>
      </c>
      <c r="AJ149" s="99">
        <f>IF(ISERROR(TDIST((AJ147-AJ143)/ABS(AJ143)*TINV(AJ140,AJ142),AJ142,1)),1-TDIST((AJ143-AJ147)/ABS(AJ143)*TINV(AJ140,AJ142),AJ142,1),TDIST((AJ147-AJ143)/ABS(AJ143)*TINV(AJ140,AJ142),AJ142,1))*100</f>
        <v>0.2578653328022794</v>
      </c>
      <c r="AK149" s="99">
        <f>IF(ISERROR(TDIST((AK147-AK143)/ABS(AK143)*TINV(AK140,AK142),AK142,1)),1-TDIST((AK143-AK147)/ABS(AK143)*TINV(AK140,AK142),AK142,1),TDIST((AK147-AK143)/ABS(AK143)*TINV(AK140,AK142),AK142,1))*100</f>
        <v>35.887432651899736</v>
      </c>
      <c r="AL149" s="99" t="e">
        <f>IF(ISERROR(TDIST((AL147-AL143)/ABS(AL143)*TINV(AL140,AL142),AL142,1)),1-TDIST((AL143-AL147)/ABS(AL143)*TINV(AL140,AL142),AL142,1),TDIST((AL147-AL143)/ABS(AL143)*TINV(AL140,AL142),AL142,1))*100</f>
        <v>#DIV/0!</v>
      </c>
      <c r="AO149" s="233" t="s">
        <v>26</v>
      </c>
      <c r="AP149" s="236" t="s">
        <v>24</v>
      </c>
      <c r="AQ149" s="99">
        <f>IF(ISERROR(TDIST((AQ147-AQ143)/ABS(AQ143)*TINV(AQ140,AQ142),AQ142,1)),1-TDIST((AQ143-AQ147)/ABS(AQ143)*TINV(AQ140,AQ142),AQ142,1),TDIST((AQ147-AQ143)/ABS(AQ143)*TINV(AQ140,AQ142),AQ142,1))*100</f>
        <v>37.03081879194333</v>
      </c>
      <c r="AT149" s="233" t="s">
        <v>26</v>
      </c>
      <c r="AU149" s="236" t="s">
        <v>24</v>
      </c>
      <c r="AV149" s="99">
        <f>IF(ISERROR(TDIST((AV147-AV143)/ABS(AV143)*TINV(AV140,AV142),AV142,1)),1-TDIST((AV143-AV147)/ABS(AV143)*TINV(AV140,AV142),AV142,1),TDIST((AV147-AV143)/ABS(AV143)*TINV(AV140,AV142),AV142,1))*100</f>
        <v>0.0001579644700869888</v>
      </c>
      <c r="AW149" s="99">
        <f>IF(ISERROR(TDIST((AW147-AW143)/ABS(AW143)*TINV(AW140,AW142),AW142,1)),1-TDIST((AW143-AW147)/ABS(AW143)*TINV(AW140,AW142),AW142,1),TDIST((AW147-AW143)/ABS(AW143)*TINV(AW140,AW142),AW142,1))*100</f>
        <v>0.24713345540192297</v>
      </c>
      <c r="AX149" s="99">
        <f>IF(ISERROR(TDIST((AX147-AX143)/ABS(AX143)*TINV(AX140,AX142),AX142,1)),1-TDIST((AX143-AX147)/ABS(AX143)*TINV(AX140,AX142),AX142,1),TDIST((AX147-AX143)/ABS(AX143)*TINV(AX140,AX142),AX142,1))*100</f>
        <v>61.02311118065511</v>
      </c>
      <c r="AY149" s="99" t="e">
        <f>IF(ISERROR(TDIST((AY147-AY143)/ABS(AY143)*TINV(AY140,AY142),AY142,1)),1-TDIST((AY143-AY147)/ABS(AY143)*TINV(AY140,AY142),AY142,1),TDIST((AY147-AY143)/ABS(AY143)*TINV(AY140,AY142),AY142,1))*100</f>
        <v>#DIV/0!</v>
      </c>
      <c r="BB149" s="233" t="s">
        <v>26</v>
      </c>
      <c r="BC149" s="236" t="s">
        <v>24</v>
      </c>
      <c r="BD149" s="99">
        <f>IF(ISERROR(TDIST((BD147-BD143)/ABS(BD143)*TINV(BD140,BD142),BD142,1)),1-TDIST((BD143-BD147)/ABS(BD143)*TINV(BD140,BD142),BD142,1),TDIST((BD147-BD143)/ABS(BD143)*TINV(BD140,BD142),BD142,1))*100</f>
        <v>37.30013197465585</v>
      </c>
      <c r="BG149" s="233" t="s">
        <v>26</v>
      </c>
      <c r="BH149" s="236" t="s">
        <v>24</v>
      </c>
      <c r="BI149" s="99">
        <f>IF(ISERROR(TDIST((BI147-BI143)/ABS(BI143)*TINV(BI140,BI142),BI142,1)),1-TDIST((BI143-BI147)/ABS(BI143)*TINV(BI140,BI142),BI142,1),TDIST((BI147-BI143)/ABS(BI143)*TINV(BI140,BI142),BI142,1))*100</f>
        <v>0.00015868094186674222</v>
      </c>
      <c r="BJ149" s="99">
        <f>IF(ISERROR(TDIST((BJ147-BJ143)/ABS(BJ143)*TINV(BJ140,BJ142),BJ142,1)),1-TDIST((BJ143-BJ147)/ABS(BJ143)*TINV(BJ140,BJ142),BJ142,1),TDIST((BJ147-BJ143)/ABS(BJ143)*TINV(BJ140,BJ142),BJ142,1))*100</f>
        <v>0.24979032721065877</v>
      </c>
      <c r="BK149" s="99">
        <f>IF(ISERROR(TDIST((BK147-BK143)/ABS(BK143)*TINV(BK140,BK142),BK142,1)),1-TDIST((BK143-BK147)/ABS(BK143)*TINV(BK140,BK142),BK142,1),TDIST((BK147-BK143)/ABS(BK143)*TINV(BK140,BK142),BK142,1))*100</f>
        <v>61.0171087596199</v>
      </c>
      <c r="BL149" s="99" t="e">
        <f>IF(ISERROR(TDIST((BL147-BL143)/ABS(BL143)*TINV(BL140,BL142),BL142,1)),1-TDIST((BL143-BL147)/ABS(BL143)*TINV(BL140,BL142),BL142,1),TDIST((BL147-BL143)/ABS(BL143)*TINV(BL140,BL142),BL142,1))*100</f>
        <v>#DIV/0!</v>
      </c>
    </row>
    <row r="150" spans="2:64" ht="29.25">
      <c r="B150" s="234"/>
      <c r="C150" s="242"/>
      <c r="D150" s="24" t="str">
        <f>IF(D149&lt;1,"almost certainly not",IF(D149&lt;5,"very unlikely",IF(D149&lt;25,"unlikely, probably not",IF(D149&lt;75,"possibly, may (not)",IF(D149&lt;95,"likely, probable",IF(D149&lt;99,"very likely","almost certainly"))))))</f>
        <v>possibly, may (not)</v>
      </c>
      <c r="E150" s="90"/>
      <c r="F150" s="90"/>
      <c r="O150" s="234"/>
      <c r="P150" s="237"/>
      <c r="Q150" s="24" t="str">
        <f>IF(Q149&lt;1,"almost certainly not",IF(Q149&lt;5,"very unlikely",IF(Q149&lt;25,"unlikely, probably not",IF(Q149&lt;75,"possibly, may (not)",IF(Q149&lt;95,"likely, probable",IF(Q149&lt;99,"very likely","almost certainly"))))))</f>
        <v>possibly, may (not)</v>
      </c>
      <c r="T150" s="234"/>
      <c r="U150" s="237"/>
      <c r="V150" s="24" t="str">
        <f>IF(V149&lt;1,"almost certainly not",IF(V149&lt;5,"very unlikely",IF(V149&lt;25,"unlikely, probably not",IF(V149&lt;75,"possibly, may (not)",IF(V149&lt;95,"likely, probable",IF(V149&lt;99,"very likely","almost certainly"))))))</f>
        <v>almost certainly not</v>
      </c>
      <c r="W150" s="24" t="str">
        <f>IF(W149&lt;1,"almost certainly not",IF(W149&lt;5,"very unlikely",IF(W149&lt;25,"unlikely, probably not",IF(W149&lt;75,"possibly, may (not)",IF(W149&lt;95,"likely, probable",IF(W149&lt;99,"very likely","almost certainly"))))))</f>
        <v>almost certainly not</v>
      </c>
      <c r="X150" s="24" t="str">
        <f>IF(X149&lt;1,"almost certainly not",IF(X149&lt;5,"very unlikely",IF(X149&lt;25,"unlikely, probably not",IF(X149&lt;75,"possibly, may (not)",IF(X149&lt;95,"likely, probable",IF(X149&lt;99,"very likely","almost certainly"))))))</f>
        <v>possibly, may (not)</v>
      </c>
      <c r="Y150" s="24" t="e">
        <f>IF(Y149&lt;1,"almost certainly not",IF(Y149&lt;5,"very unlikely",IF(Y149&lt;25,"unlikely, probably not",IF(Y149&lt;75,"possibly, may (not)",IF(Y149&lt;95,"likely, probable",IF(Y149&lt;99,"very likely","almost certainly"))))))</f>
        <v>#DIV/0!</v>
      </c>
      <c r="AB150" s="234"/>
      <c r="AC150" s="237"/>
      <c r="AD150" s="24" t="str">
        <f>IF(AD149&lt;1,"almost certainly not",IF(AD149&lt;5,"very unlikely",IF(AD149&lt;25,"unlikely, probably not",IF(AD149&lt;75,"possibly, may (not)",IF(AD149&lt;95,"likely, probable",IF(AD149&lt;99,"very likely","almost certainly"))))))</f>
        <v>possibly, may (not)</v>
      </c>
      <c r="AG150" s="261"/>
      <c r="AH150" s="247"/>
      <c r="AI150" s="24" t="str">
        <f>IF(AI149&lt;1,"almost certainly not",IF(AI149&lt;5,"very unlikely",IF(AI149&lt;25,"unlikely, probably not",IF(AI149&lt;75,"possibly, may (not)",IF(AI149&lt;95,"likely, probable",IF(AI149&lt;99,"very likely","almost certainly"))))))</f>
        <v>almost certainly not</v>
      </c>
      <c r="AJ150" s="24" t="str">
        <f>IF(AJ149&lt;1,"almost certainly not",IF(AJ149&lt;5,"very unlikely",IF(AJ149&lt;25,"unlikely, probably not",IF(AJ149&lt;75,"possibly, may (not)",IF(AJ149&lt;95,"likely, probable",IF(AJ149&lt;99,"very likely","almost certainly"))))))</f>
        <v>almost certainly not</v>
      </c>
      <c r="AK150" s="24" t="str">
        <f>IF(AK149&lt;1,"almost certainly not",IF(AK149&lt;5,"very unlikely",IF(AK149&lt;25,"unlikely, probably not",IF(AK149&lt;75,"possibly, may (not)",IF(AK149&lt;95,"likely, probable",IF(AK149&lt;99,"very likely","almost certainly"))))))</f>
        <v>possibly, may (not)</v>
      </c>
      <c r="AL150" s="24" t="e">
        <f>IF(AL149&lt;1,"almost certainly not",IF(AL149&lt;5,"very unlikely",IF(AL149&lt;25,"unlikely, probably not",IF(AL149&lt;75,"possibly, may (not)",IF(AL149&lt;95,"likely, probable",IF(AL149&lt;99,"very likely","almost certainly"))))))</f>
        <v>#DIV/0!</v>
      </c>
      <c r="AO150" s="234"/>
      <c r="AP150" s="237"/>
      <c r="AQ150" s="24" t="str">
        <f>IF(AQ149&lt;1,"almost certainly not",IF(AQ149&lt;5,"very unlikely",IF(AQ149&lt;25,"unlikely, probably not",IF(AQ149&lt;75,"possibly, may (not)",IF(AQ149&lt;95,"likely, probable",IF(AQ149&lt;99,"very likely","almost certainly"))))))</f>
        <v>possibly, may (not)</v>
      </c>
      <c r="AT150" s="234"/>
      <c r="AU150" s="237"/>
      <c r="AV150" s="24" t="str">
        <f>IF(AV149&lt;1,"almost certainly not",IF(AV149&lt;5,"very unlikely",IF(AV149&lt;25,"unlikely, probably not",IF(AV149&lt;75,"possibly, may (not)",IF(AV149&lt;95,"likely, probable",IF(AV149&lt;99,"very likely","almost certainly"))))))</f>
        <v>almost certainly not</v>
      </c>
      <c r="AW150" s="24" t="str">
        <f>IF(AW149&lt;1,"almost certainly not",IF(AW149&lt;5,"very unlikely",IF(AW149&lt;25,"unlikely, probably not",IF(AW149&lt;75,"possibly, may (not)",IF(AW149&lt;95,"likely, probable",IF(AW149&lt;99,"very likely","almost certainly"))))))</f>
        <v>almost certainly not</v>
      </c>
      <c r="AX150" s="24" t="str">
        <f>IF(AX149&lt;1,"almost certainly not",IF(AX149&lt;5,"very unlikely",IF(AX149&lt;25,"unlikely, probably not",IF(AX149&lt;75,"possibly, may (not)",IF(AX149&lt;95,"likely, probable",IF(AX149&lt;99,"very likely","almost certainly"))))))</f>
        <v>possibly, may (not)</v>
      </c>
      <c r="AY150" s="24" t="e">
        <f>IF(AY149&lt;1,"almost certainly not",IF(AY149&lt;5,"very unlikely",IF(AY149&lt;25,"unlikely, probably not",IF(AY149&lt;75,"possibly, may (not)",IF(AY149&lt;95,"likely, probable",IF(AY149&lt;99,"very likely","almost certainly"))))))</f>
        <v>#DIV/0!</v>
      </c>
      <c r="BB150" s="234"/>
      <c r="BC150" s="237"/>
      <c r="BD150" s="24" t="str">
        <f>IF(BD149&lt;1,"almost certainly not",IF(BD149&lt;5,"very unlikely",IF(BD149&lt;25,"unlikely, probably not",IF(BD149&lt;75,"possibly, may (not)",IF(BD149&lt;95,"likely, probable",IF(BD149&lt;99,"very likely","almost certainly"))))))</f>
        <v>possibly, may (not)</v>
      </c>
      <c r="BG150" s="234"/>
      <c r="BH150" s="237"/>
      <c r="BI150" s="24" t="str">
        <f>IF(BI149&lt;1,"almost certainly not",IF(BI149&lt;5,"very unlikely",IF(BI149&lt;25,"unlikely, probably not",IF(BI149&lt;75,"possibly, may (not)",IF(BI149&lt;95,"likely, probable",IF(BI149&lt;99,"very likely","almost certainly"))))))</f>
        <v>almost certainly not</v>
      </c>
      <c r="BJ150" s="24" t="str">
        <f>IF(BJ149&lt;1,"almost certainly not",IF(BJ149&lt;5,"very unlikely",IF(BJ149&lt;25,"unlikely, probably not",IF(BJ149&lt;75,"possibly, may (not)",IF(BJ149&lt;95,"likely, probable",IF(BJ149&lt;99,"very likely","almost certainly"))))))</f>
        <v>almost certainly not</v>
      </c>
      <c r="BK150" s="24" t="str">
        <f>IF(BK149&lt;1,"almost certainly not",IF(BK149&lt;5,"very unlikely",IF(BK149&lt;25,"unlikely, probably not",IF(BK149&lt;75,"possibly, may (not)",IF(BK149&lt;95,"likely, probable",IF(BK149&lt;99,"very likely","almost certainly"))))))</f>
        <v>possibly, may (not)</v>
      </c>
      <c r="BL150" s="24" t="e">
        <f>IF(BL149&lt;1,"almost certainly not",IF(BL149&lt;5,"very unlikely",IF(BL149&lt;25,"unlikely, probably not",IF(BL149&lt;75,"possibly, may (not)",IF(BL149&lt;95,"likely, probable",IF(BL149&lt;99,"very likely","almost certainly"))))))</f>
        <v>#DIV/0!</v>
      </c>
    </row>
    <row r="151" spans="2:64" ht="12.75">
      <c r="B151" s="234"/>
      <c r="C151" s="238" t="s">
        <v>23</v>
      </c>
      <c r="D151" s="99">
        <f>100-D149-D153</f>
        <v>35.477851793846085</v>
      </c>
      <c r="E151" s="90"/>
      <c r="F151" s="90"/>
      <c r="O151" s="234"/>
      <c r="P151" s="238" t="s">
        <v>23</v>
      </c>
      <c r="Q151" s="99">
        <f>100-Q149-Q153</f>
        <v>45.355689044074964</v>
      </c>
      <c r="T151" s="234"/>
      <c r="U151" s="238" t="s">
        <v>23</v>
      </c>
      <c r="V151" s="99">
        <f>100-V149-V153</f>
        <v>0.407420417422685</v>
      </c>
      <c r="W151" s="99">
        <f>100-W149-W153</f>
        <v>18.996977514622188</v>
      </c>
      <c r="X151" s="99">
        <f>100-X149-X153</f>
        <v>36.90684542957308</v>
      </c>
      <c r="Y151" s="99" t="e">
        <f>100-Y149-Y153</f>
        <v>#DIV/0!</v>
      </c>
      <c r="AB151" s="234"/>
      <c r="AC151" s="238" t="s">
        <v>23</v>
      </c>
      <c r="AD151" s="99">
        <f>100-AD149-AD153</f>
        <v>39.137707472462516</v>
      </c>
      <c r="AG151" s="261"/>
      <c r="AH151" s="248" t="s">
        <v>23</v>
      </c>
      <c r="AI151" s="99">
        <f>100-AI149-AI153</f>
        <v>2.5363787853560495</v>
      </c>
      <c r="AJ151" s="99">
        <f>100-AJ149-AJ153</f>
        <v>16.59181238067906</v>
      </c>
      <c r="AK151" s="99">
        <f>100-AK149-AK153</f>
        <v>60.59046258359318</v>
      </c>
      <c r="AL151" s="99" t="e">
        <f>100-AL149-AL153</f>
        <v>#DIV/0!</v>
      </c>
      <c r="AO151" s="234"/>
      <c r="AP151" s="238" t="s">
        <v>23</v>
      </c>
      <c r="AQ151" s="99">
        <f>100-AQ149-AQ153</f>
        <v>44.694586417315385</v>
      </c>
      <c r="AT151" s="234"/>
      <c r="AU151" s="267" t="s">
        <v>23</v>
      </c>
      <c r="AV151" s="99">
        <f>100-AV149-AV153</f>
        <v>0.46117657710328785</v>
      </c>
      <c r="AW151" s="99">
        <f>100-AW149-AW153</f>
        <v>20.148638330132655</v>
      </c>
      <c r="AX151" s="99">
        <f>100-AX149-AX153</f>
        <v>38.09749211341994</v>
      </c>
      <c r="AY151" s="99" t="e">
        <f>100-AY149-AY153</f>
        <v>#DIV/0!</v>
      </c>
      <c r="BB151" s="234"/>
      <c r="BC151" s="238" t="s">
        <v>23</v>
      </c>
      <c r="BD151" s="99">
        <f>100-BD149-BD153</f>
        <v>44.61265958134163</v>
      </c>
      <c r="BG151" s="234"/>
      <c r="BH151" s="267" t="s">
        <v>23</v>
      </c>
      <c r="BI151" s="99">
        <f>100-BI149-BI153</f>
        <v>0.4672617562993935</v>
      </c>
      <c r="BJ151" s="99">
        <f>100-BJ149-BJ153</f>
        <v>20.35738454950726</v>
      </c>
      <c r="BK151" s="99">
        <f>100-BK149-BK153</f>
        <v>38.090598569803376</v>
      </c>
      <c r="BL151" s="99" t="e">
        <f>100-BL149-BL153</f>
        <v>#DIV/0!</v>
      </c>
    </row>
    <row r="152" spans="2:64" ht="29.25">
      <c r="B152" s="234"/>
      <c r="C152" s="239"/>
      <c r="D152" s="24" t="str">
        <f>IF(D151&lt;1,"almost certainly not",IF(D151&lt;5,"very unlikely",IF(D151&lt;25,"unlikely, probably not",IF(D151&lt;75,"possibly, may (not)",IF(D151&lt;95,"likely, probable",IF(D151&lt;99,"very likely","almost certainly"))))))</f>
        <v>possibly, may (not)</v>
      </c>
      <c r="E152" s="90"/>
      <c r="F152" s="90"/>
      <c r="G152" s="81" t="s">
        <v>6</v>
      </c>
      <c r="O152" s="234"/>
      <c r="P152" s="239"/>
      <c r="Q152" s="24" t="str">
        <f>IF(Q151&lt;1,"almost certainly not",IF(Q151&lt;5,"very unlikely",IF(Q151&lt;25,"unlikely, probably not",IF(Q151&lt;75,"possibly, may (not)",IF(Q151&lt;95,"likely, probable",IF(Q151&lt;99,"very likely","almost certainly"))))))</f>
        <v>possibly, may (not)</v>
      </c>
      <c r="T152" s="234"/>
      <c r="U152" s="239"/>
      <c r="V152" s="24" t="str">
        <f>IF(V151&lt;1,"almost certainly not",IF(V151&lt;5,"very unlikely",IF(V151&lt;25,"unlikely, probably not",IF(V151&lt;75,"possibly, may (not)",IF(V151&lt;95,"likely, probable",IF(V151&lt;99,"very likely","almost certainly"))))))</f>
        <v>almost certainly not</v>
      </c>
      <c r="W152" s="24" t="str">
        <f>IF(W151&lt;1,"almost certainly not",IF(W151&lt;5,"very unlikely",IF(W151&lt;25,"unlikely, probably not",IF(W151&lt;75,"possibly, may (not)",IF(W151&lt;95,"likely, probable",IF(W151&lt;99,"very likely","almost certainly"))))))</f>
        <v>unlikely, probably not</v>
      </c>
      <c r="X152" s="24" t="str">
        <f>IF(X151&lt;1,"almost certainly not",IF(X151&lt;5,"very unlikely",IF(X151&lt;25,"unlikely, probably not",IF(X151&lt;75,"possibly, may (not)",IF(X151&lt;95,"likely, probable",IF(X151&lt;99,"very likely","almost certainly"))))))</f>
        <v>possibly, may (not)</v>
      </c>
      <c r="Y152" s="24" t="e">
        <f>IF(Y151&lt;1,"almost certainly not",IF(Y151&lt;5,"very unlikely",IF(Y151&lt;25,"unlikely, probably not",IF(Y151&lt;75,"possibly, may (not)",IF(Y151&lt;95,"likely, probable",IF(Y151&lt;99,"very likely","almost certainly"))))))</f>
        <v>#DIV/0!</v>
      </c>
      <c r="AB152" s="234"/>
      <c r="AC152" s="239"/>
      <c r="AD152" s="24" t="str">
        <f>IF(AD151&lt;1,"almost certainly not",IF(AD151&lt;5,"very unlikely",IF(AD151&lt;25,"unlikely, probably not",IF(AD151&lt;75,"possibly, may (not)",IF(AD151&lt;95,"likely, probable",IF(AD151&lt;99,"very likely","almost certainly"))))))</f>
        <v>possibly, may (not)</v>
      </c>
      <c r="AG152" s="261"/>
      <c r="AH152" s="249"/>
      <c r="AI152" s="24" t="str">
        <f>IF(AI151&lt;1,"almost certainly not",IF(AI151&lt;5,"very unlikely",IF(AI151&lt;25,"unlikely, probably not",IF(AI151&lt;75,"possibly, may (not)",IF(AI151&lt;95,"likely, probable",IF(AI151&lt;99,"very likely","almost certainly"))))))</f>
        <v>very unlikely</v>
      </c>
      <c r="AJ152" s="24" t="str">
        <f>IF(AJ151&lt;1,"almost certainly not",IF(AJ151&lt;5,"very unlikely",IF(AJ151&lt;25,"unlikely, probably not",IF(AJ151&lt;75,"possibly, may (not)",IF(AJ151&lt;95,"likely, probable",IF(AJ151&lt;99,"very likely","almost certainly"))))))</f>
        <v>unlikely, probably not</v>
      </c>
      <c r="AK152" s="24" t="str">
        <f>IF(AK151&lt;1,"almost certainly not",IF(AK151&lt;5,"very unlikely",IF(AK151&lt;25,"unlikely, probably not",IF(AK151&lt;75,"possibly, may (not)",IF(AK151&lt;95,"likely, probable",IF(AK151&lt;99,"very likely","almost certainly"))))))</f>
        <v>possibly, may (not)</v>
      </c>
      <c r="AL152" s="24" t="e">
        <f>IF(AL151&lt;1,"almost certainly not",IF(AL151&lt;5,"very unlikely",IF(AL151&lt;25,"unlikely, probably not",IF(AL151&lt;75,"possibly, may (not)",IF(AL151&lt;95,"likely, probable",IF(AL151&lt;99,"very likely","almost certainly"))))))</f>
        <v>#DIV/0!</v>
      </c>
      <c r="AO152" s="234"/>
      <c r="AP152" s="239"/>
      <c r="AQ152" s="24" t="str">
        <f>IF(AQ151&lt;1,"almost certainly not",IF(AQ151&lt;5,"very unlikely",IF(AQ151&lt;25,"unlikely, probably not",IF(AQ151&lt;75,"possibly, may (not)",IF(AQ151&lt;95,"likely, probable",IF(AQ151&lt;99,"very likely","almost certainly"))))))</f>
        <v>possibly, may (not)</v>
      </c>
      <c r="AT152" s="234"/>
      <c r="AU152" s="268"/>
      <c r="AV152" s="24" t="str">
        <f>IF(AV151&lt;1,"almost certainly not",IF(AV151&lt;5,"very unlikely",IF(AV151&lt;25,"unlikely, probably not",IF(AV151&lt;75,"possibly, may (not)",IF(AV151&lt;95,"likely, probable",IF(AV151&lt;99,"very likely","almost certainly"))))))</f>
        <v>almost certainly not</v>
      </c>
      <c r="AW152" s="24" t="str">
        <f>IF(AW151&lt;1,"almost certainly not",IF(AW151&lt;5,"very unlikely",IF(AW151&lt;25,"unlikely, probably not",IF(AW151&lt;75,"possibly, may (not)",IF(AW151&lt;95,"likely, probable",IF(AW151&lt;99,"very likely","almost certainly"))))))</f>
        <v>unlikely, probably not</v>
      </c>
      <c r="AX152" s="24" t="str">
        <f>IF(AX151&lt;1,"almost certainly not",IF(AX151&lt;5,"very unlikely",IF(AX151&lt;25,"unlikely, probably not",IF(AX151&lt;75,"possibly, may (not)",IF(AX151&lt;95,"likely, probable",IF(AX151&lt;99,"very likely","almost certainly"))))))</f>
        <v>possibly, may (not)</v>
      </c>
      <c r="AY152" s="24" t="e">
        <f>IF(AY151&lt;1,"almost certainly not",IF(AY151&lt;5,"very unlikely",IF(AY151&lt;25,"unlikely, probably not",IF(AY151&lt;75,"possibly, may (not)",IF(AY151&lt;95,"likely, probable",IF(AY151&lt;99,"very likely","almost certainly"))))))</f>
        <v>#DIV/0!</v>
      </c>
      <c r="BB152" s="234"/>
      <c r="BC152" s="239"/>
      <c r="BD152" s="24" t="str">
        <f>IF(BD151&lt;1,"almost certainly not",IF(BD151&lt;5,"very unlikely",IF(BD151&lt;25,"unlikely, probably not",IF(BD151&lt;75,"possibly, may (not)",IF(BD151&lt;95,"likely, probable",IF(BD151&lt;99,"very likely","almost certainly"))))))</f>
        <v>possibly, may (not)</v>
      </c>
      <c r="BG152" s="234"/>
      <c r="BH152" s="268"/>
      <c r="BI152" s="24" t="str">
        <f>IF(BI151&lt;1,"almost certainly not",IF(BI151&lt;5,"very unlikely",IF(BI151&lt;25,"unlikely, probably not",IF(BI151&lt;75,"possibly, may (not)",IF(BI151&lt;95,"likely, probable",IF(BI151&lt;99,"very likely","almost certainly"))))))</f>
        <v>almost certainly not</v>
      </c>
      <c r="BJ152" s="24" t="str">
        <f>IF(BJ151&lt;1,"almost certainly not",IF(BJ151&lt;5,"very unlikely",IF(BJ151&lt;25,"unlikely, probably not",IF(BJ151&lt;75,"possibly, may (not)",IF(BJ151&lt;95,"likely, probable",IF(BJ151&lt;99,"very likely","almost certainly"))))))</f>
        <v>unlikely, probably not</v>
      </c>
      <c r="BK152" s="24" t="str">
        <f>IF(BK151&lt;1,"almost certainly not",IF(BK151&lt;5,"very unlikely",IF(BK151&lt;25,"unlikely, probably not",IF(BK151&lt;75,"possibly, may (not)",IF(BK151&lt;95,"likely, probable",IF(BK151&lt;99,"very likely","almost certainly"))))))</f>
        <v>possibly, may (not)</v>
      </c>
      <c r="BL152" s="24" t="e">
        <f>IF(BL151&lt;1,"almost certainly not",IF(BL151&lt;5,"very unlikely",IF(BL151&lt;25,"unlikely, probably not",IF(BL151&lt;75,"possibly, may (not)",IF(BL151&lt;95,"likely, probable",IF(BL151&lt;99,"very likely","almost certainly"))))))</f>
        <v>#DIV/0!</v>
      </c>
    </row>
    <row r="153" spans="2:64" ht="12.75">
      <c r="B153" s="234"/>
      <c r="C153" s="286" t="s">
        <v>105</v>
      </c>
      <c r="D153" s="99">
        <f>100-100*FDIST(1/D143^2*D148^2,COUNT(D24:D43)-1,COUNT(D51:D70)-1)</f>
        <v>9.272943506297565</v>
      </c>
      <c r="E153" s="90"/>
      <c r="F153" s="90"/>
      <c r="O153" s="234"/>
      <c r="P153" s="240" t="s">
        <v>25</v>
      </c>
      <c r="Q153" s="99">
        <f>IF(ISERROR(TDIST((Q148-Q143)/ABS(Q143)*TINV(Q140,Q142),Q142,1)),TDIST((Q143-Q148)/ABS(Q143)*TINV(Q140,Q142),Q142,1),1-TDIST((Q148-Q143)/ABS(Q143)*TINV(Q140,Q142),Q142,1))*100</f>
        <v>20.046149193718666</v>
      </c>
      <c r="T153" s="234"/>
      <c r="U153" s="240" t="s">
        <v>25</v>
      </c>
      <c r="V153" s="99">
        <f>IF(ISERROR(TDIST((V148-V143)/ABS(V143)*TINV(V140,V142),V142,1)),TDIST((V143-V148)/ABS(V143)*TINV(V140,V142),V142,1),1-TDIST((V148-V143)/ABS(V143)*TINV(V140,V142),V142,1))*100</f>
        <v>99.59240551881805</v>
      </c>
      <c r="W153" s="99">
        <f>IF(ISERROR(TDIST((W148-W143)/ABS(W143)*TINV(W140,W142),W142,1)),TDIST((W143-W148)/ABS(W143)*TINV(W140,W142),W142,1),1-TDIST((W148-W143)/ABS(W143)*TINV(W140,W142),W142,1))*100</f>
        <v>80.77626234620804</v>
      </c>
      <c r="X153" s="99">
        <f>IF(ISERROR(TDIST((X148-X143)/ABS(X143)*TINV(X140,X142),X142,1)),TDIST((X143-X148)/ABS(X143)*TINV(X140,X142),X142,1),1-TDIST((X148-X143)/ABS(X143)*TINV(X140,X142),X142,1))*100</f>
        <v>0.7817750204292792</v>
      </c>
      <c r="Y153" s="99" t="e">
        <f>IF(ISERROR(TDIST((Y148-Y143)/ABS(Y143)*TINV(Y140,Y142),Y142,1)),TDIST((Y143-Y148)/ABS(Y143)*TINV(Y140,Y142),Y142,1),1-TDIST((Y148-Y143)/ABS(Y143)*TINV(Y140,Y142),Y142,1))*100</f>
        <v>#DIV/0!</v>
      </c>
      <c r="AB153" s="234"/>
      <c r="AC153" s="240" t="s">
        <v>25</v>
      </c>
      <c r="AD153" s="99">
        <f>IF(ISERROR(TDIST((AD148-AD143)/ABS(AD143)*TINV(AD140,AD142),AD142,1)),TDIST((AD143-AD148)/ABS(AD143)*TINV(AD140,AD142),AD142,1),1-TDIST((AD148-AD143)/ABS(AD143)*TINV(AD140,AD142),AD142,1))*100</f>
        <v>10.86858343799143</v>
      </c>
      <c r="AG153" s="261"/>
      <c r="AH153" s="250" t="s">
        <v>25</v>
      </c>
      <c r="AI153" s="99">
        <f>IF(ISERROR(TDIST((AI148-AI143)/ABS(AI143)*TINV(AI140,AI142),AI142,1)),TDIST((AI143-AI148)/ABS(AI143)*TINV(AI140,AI142),AI142,1),1-TDIST((AI148-AI143)/ABS(AI143)*TINV(AI140,AI142),AI142,1))*100</f>
        <v>97.4617338604556</v>
      </c>
      <c r="AJ153" s="99">
        <f>IF(ISERROR(TDIST((AJ148-AJ143)/ABS(AJ143)*TINV(AJ140,AJ142),AJ142,1)),TDIST((AJ143-AJ148)/ABS(AJ143)*TINV(AJ140,AJ142),AJ142,1),1-TDIST((AJ148-AJ143)/ABS(AJ143)*TINV(AJ140,AJ142),AJ142,1))*100</f>
        <v>83.15032228651866</v>
      </c>
      <c r="AK153" s="99">
        <f>IF(ISERROR(TDIST((AK148-AK143)/ABS(AK143)*TINV(AK140,AK142),AK142,1)),TDIST((AK143-AK148)/ABS(AK143)*TINV(AK140,AK142),AK142,1),1-TDIST((AK148-AK143)/ABS(AK143)*TINV(AK140,AK142),AK142,1))*100</f>
        <v>3.5221047645070933</v>
      </c>
      <c r="AL153" s="99" t="e">
        <f>IF(ISERROR(TDIST((AL148-AL143)/ABS(AL143)*TINV(AL140,AL142),AL142,1)),TDIST((AL143-AL148)/ABS(AL143)*TINV(AL140,AL142),AL142,1),1-TDIST((AL148-AL143)/ABS(AL143)*TINV(AL140,AL142),AL142,1))*100</f>
        <v>#DIV/0!</v>
      </c>
      <c r="AO153" s="234"/>
      <c r="AP153" s="240" t="s">
        <v>25</v>
      </c>
      <c r="AQ153" s="99">
        <f>IF(ISERROR(TDIST((AQ148-AQ143)/ABS(AQ143)*TINV(AQ140,AQ142),AQ142,1)),TDIST((AQ143-AQ148)/ABS(AQ143)*TINV(AQ140,AQ142),AQ142,1),1-TDIST((AQ148-AQ143)/ABS(AQ143)*TINV(AQ140,AQ142),AQ142,1))*100</f>
        <v>18.274594790741283</v>
      </c>
      <c r="AT153" s="234"/>
      <c r="AU153" s="240" t="s">
        <v>25</v>
      </c>
      <c r="AV153" s="99">
        <f>IF(ISERROR(TDIST((AV148-AV143)/ABS(AV143)*TINV(AV140,AV142),AV142,1)),TDIST((AV143-AV148)/ABS(AV143)*TINV(AV140,AV142),AV142,1),1-TDIST((AV148-AV143)/ABS(AV143)*TINV(AV140,AV142),AV142,1))*100</f>
        <v>99.53866545842662</v>
      </c>
      <c r="AW153" s="99">
        <f>IF(ISERROR(TDIST((AW148-AW143)/ABS(AW143)*TINV(AW140,AW142),AW142,1)),TDIST((AW143-AW148)/ABS(AW143)*TINV(AW140,AW142),AW142,1),1-TDIST((AW148-AW143)/ABS(AW143)*TINV(AW140,AW142),AW142,1))*100</f>
        <v>79.60422821446542</v>
      </c>
      <c r="AX153" s="99">
        <f>IF(ISERROR(TDIST((AX148-AX143)/ABS(AX143)*TINV(AX140,AX142),AX142,1)),TDIST((AX143-AX148)/ABS(AX143)*TINV(AX140,AX142),AX142,1),1-TDIST((AX148-AX143)/ABS(AX143)*TINV(AX140,AX142),AX142,1))*100</f>
        <v>0.8793967059249538</v>
      </c>
      <c r="AY153" s="99" t="e">
        <f>IF(ISERROR(TDIST((AY148-AY143)/ABS(AY143)*TINV(AY140,AY142),AY142,1)),TDIST((AY143-AY148)/ABS(AY143)*TINV(AY140,AY142),AY142,1),1-TDIST((AY148-AY143)/ABS(AY143)*TINV(AY140,AY142),AY142,1))*100</f>
        <v>#DIV/0!</v>
      </c>
      <c r="BB153" s="234"/>
      <c r="BC153" s="240" t="s">
        <v>25</v>
      </c>
      <c r="BD153" s="99">
        <f>IF(ISERROR(TDIST((BD148-BD143)/ABS(BD143)*TINV(BD140,BD142),BD142,1)),TDIST((BD143-BD148)/ABS(BD143)*TINV(BD140,BD142),BD142,1),1-TDIST((BD148-BD143)/ABS(BD143)*TINV(BD140,BD142),BD142,1))*100</f>
        <v>18.087208444002517</v>
      </c>
      <c r="BG153" s="234"/>
      <c r="BH153" s="240" t="s">
        <v>25</v>
      </c>
      <c r="BI153" s="99">
        <f>IF(ISERROR(TDIST((BI148-BI143)/ABS(BI143)*TINV(BI140,BI142),BI142,1)),TDIST((BI143-BI148)/ABS(BI143)*TINV(BI140,BI142),BI142,1),1-TDIST((BI148-BI143)/ABS(BI143)*TINV(BI140,BI142),BI142,1))*100</f>
        <v>99.53257956275874</v>
      </c>
      <c r="BJ153" s="99">
        <f>IF(ISERROR(TDIST((BJ148-BJ143)/ABS(BJ143)*TINV(BJ140,BJ142),BJ142,1)),TDIST((BJ143-BJ148)/ABS(BJ143)*TINV(BJ140,BJ142),BJ142,1),1-TDIST((BJ148-BJ143)/ABS(BJ143)*TINV(BJ140,BJ142),BJ142,1))*100</f>
        <v>79.39282512328208</v>
      </c>
      <c r="BK153" s="99">
        <f>IF(ISERROR(TDIST((BK148-BK143)/ABS(BK143)*TINV(BK140,BK142),BK142,1)),TDIST((BK143-BK148)/ABS(BK143)*TINV(BK140,BK142),BK142,1),1-TDIST((BK148-BK143)/ABS(BK143)*TINV(BK140,BK142),BK142,1))*100</f>
        <v>0.8922926705767211</v>
      </c>
      <c r="BL153" s="99" t="e">
        <f>IF(ISERROR(TDIST((BL148-BL143)/ABS(BL143)*TINV(BL140,BL142),BL142,1)),TDIST((BL143-BL148)/ABS(BL143)*TINV(BL140,BL142),BL142,1),1-TDIST((BL148-BL143)/ABS(BL143)*TINV(BL140,BL142),BL142,1))*100</f>
        <v>#DIV/0!</v>
      </c>
    </row>
    <row r="154" spans="2:64" ht="27" customHeight="1">
      <c r="B154" s="235"/>
      <c r="C154" s="237"/>
      <c r="D154" s="24" t="str">
        <f>IF(D153&lt;1,"almost certainly not",IF(D153&lt;5,"very unlikely",IF(D153&lt;25,"unlikely, probably not",IF(D153&lt;75,"possibly, may (not)",IF(D153&lt;95,"likely, probable",IF(D153&lt;99,"very likely","almost certainly"))))))</f>
        <v>unlikely, probably not</v>
      </c>
      <c r="E154" s="90"/>
      <c r="F154" s="90"/>
      <c r="G154" s="292" t="s">
        <v>158</v>
      </c>
      <c r="H154" s="293"/>
      <c r="I154" s="122" t="str">
        <f>I23</f>
        <v>Post1-Pre</v>
      </c>
      <c r="J154" s="122" t="str">
        <f>J23</f>
        <v>Post2-Pre</v>
      </c>
      <c r="K154" s="122" t="str">
        <f>K23</f>
        <v>Post2-Post1</v>
      </c>
      <c r="L154" s="122" t="str">
        <f>L23</f>
        <v>other effect</v>
      </c>
      <c r="O154" s="235"/>
      <c r="P154" s="242"/>
      <c r="Q154" s="24" t="str">
        <f>IF(Q153&lt;1,"almost certainly not",IF(Q153&lt;5,"very unlikely",IF(Q153&lt;25,"unlikely, probably not",IF(Q153&lt;75,"possibly, may (not)",IF(Q153&lt;95,"likely, probable",IF(Q153&lt;99,"very likely","almost certainly"))))))</f>
        <v>unlikely, probably not</v>
      </c>
      <c r="T154" s="235"/>
      <c r="U154" s="242"/>
      <c r="V154" s="24" t="str">
        <f>IF(V153&lt;1,"almost certainly not",IF(V153&lt;5,"very unlikely",IF(V153&lt;25,"unlikely, probably not",IF(V153&lt;75,"possibly, may (not)",IF(V153&lt;95,"likely, probable",IF(V153&lt;99,"very likely","almost certainly"))))))</f>
        <v>almost certainly</v>
      </c>
      <c r="W154" s="24" t="str">
        <f>IF(W153&lt;1,"almost certainly not",IF(W153&lt;5,"very unlikely",IF(W153&lt;25,"unlikely, probably not",IF(W153&lt;75,"possibly, may (not)",IF(W153&lt;95,"likely, probable",IF(W153&lt;99,"very likely","almost certainly"))))))</f>
        <v>likely, probable</v>
      </c>
      <c r="X154" s="24" t="str">
        <f>IF(X153&lt;1,"almost certainly not",IF(X153&lt;5,"very unlikely",IF(X153&lt;25,"unlikely, probably not",IF(X153&lt;75,"possibly, may (not)",IF(X153&lt;95,"likely, probable",IF(X153&lt;99,"very likely","almost certainly"))))))</f>
        <v>almost certainly not</v>
      </c>
      <c r="Y154" s="24" t="e">
        <f>IF(Y153&lt;1,"almost certainly not",IF(Y153&lt;5,"very unlikely",IF(Y153&lt;25,"unlikely, probably not",IF(Y153&lt;75,"possibly, may (not)",IF(Y153&lt;95,"likely, probable",IF(Y153&lt;99,"very likely","almost certainly"))))))</f>
        <v>#DIV/0!</v>
      </c>
      <c r="AB154" s="235"/>
      <c r="AC154" s="242"/>
      <c r="AD154" s="24" t="str">
        <f>IF(AD153&lt;1,"almost certainly not",IF(AD153&lt;5,"very unlikely",IF(AD153&lt;25,"unlikely, probably not",IF(AD153&lt;75,"possibly, may (not)",IF(AD153&lt;95,"likely, probable",IF(AD153&lt;99,"very likely","almost certainly"))))))</f>
        <v>unlikely, probably not</v>
      </c>
      <c r="AG154" s="262"/>
      <c r="AH154" s="251"/>
      <c r="AI154" s="24" t="str">
        <f>IF(AI153&lt;1,"almost certainly not",IF(AI153&lt;5,"very unlikely",IF(AI153&lt;25,"unlikely, probably not",IF(AI153&lt;75,"possibly, may (not)",IF(AI153&lt;95,"likely, probable",IF(AI153&lt;99,"very likely","almost certainly"))))))</f>
        <v>very likely</v>
      </c>
      <c r="AJ154" s="24" t="str">
        <f>IF(AJ153&lt;1,"almost certainly not",IF(AJ153&lt;5,"very unlikely",IF(AJ153&lt;25,"unlikely, probably not",IF(AJ153&lt;75,"possibly, may (not)",IF(AJ153&lt;95,"likely, probable",IF(AJ153&lt;99,"very likely","almost certainly"))))))</f>
        <v>likely, probable</v>
      </c>
      <c r="AK154" s="24" t="str">
        <f>IF(AK153&lt;1,"almost certainly not",IF(AK153&lt;5,"very unlikely",IF(AK153&lt;25,"unlikely, probably not",IF(AK153&lt;75,"possibly, may (not)",IF(AK153&lt;95,"likely, probable",IF(AK153&lt;99,"very likely","almost certainly"))))))</f>
        <v>very unlikely</v>
      </c>
      <c r="AL154" s="24" t="e">
        <f>IF(AL153&lt;1,"almost certainly not",IF(AL153&lt;5,"very unlikely",IF(AL153&lt;25,"unlikely, probably not",IF(AL153&lt;75,"possibly, may (not)",IF(AL153&lt;95,"likely, probable",IF(AL153&lt;99,"very likely","almost certainly"))))))</f>
        <v>#DIV/0!</v>
      </c>
      <c r="AO154" s="235"/>
      <c r="AP154" s="242"/>
      <c r="AQ154" s="24" t="str">
        <f>IF(AQ153&lt;1,"almost certainly not",IF(AQ153&lt;5,"very unlikely",IF(AQ153&lt;25,"unlikely, probably not",IF(AQ153&lt;75,"possibly, may (not)",IF(AQ153&lt;95,"likely, probable",IF(AQ153&lt;99,"very likely","almost certainly"))))))</f>
        <v>unlikely, probably not</v>
      </c>
      <c r="AT154" s="235"/>
      <c r="AU154" s="242"/>
      <c r="AV154" s="24" t="str">
        <f>IF(AV153&lt;1,"almost certainly not",IF(AV153&lt;5,"very unlikely",IF(AV153&lt;25,"unlikely, probably not",IF(AV153&lt;75,"possibly, may (not)",IF(AV153&lt;95,"likely, probable",IF(AV153&lt;99,"very likely","almost certainly"))))))</f>
        <v>almost certainly</v>
      </c>
      <c r="AW154" s="24" t="str">
        <f>IF(AW153&lt;1,"almost certainly not",IF(AW153&lt;5,"very unlikely",IF(AW153&lt;25,"unlikely, probably not",IF(AW153&lt;75,"possibly, may (not)",IF(AW153&lt;95,"likely, probable",IF(AW153&lt;99,"very likely","almost certainly"))))))</f>
        <v>likely, probable</v>
      </c>
      <c r="AX154" s="24" t="str">
        <f>IF(AX153&lt;1,"almost certainly not",IF(AX153&lt;5,"very unlikely",IF(AX153&lt;25,"unlikely, probably not",IF(AX153&lt;75,"possibly, may (not)",IF(AX153&lt;95,"likely, probable",IF(AX153&lt;99,"very likely","almost certainly"))))))</f>
        <v>almost certainly not</v>
      </c>
      <c r="AY154" s="24" t="e">
        <f>IF(AY153&lt;1,"almost certainly not",IF(AY153&lt;5,"very unlikely",IF(AY153&lt;25,"unlikely, probably not",IF(AY153&lt;75,"possibly, may (not)",IF(AY153&lt;95,"likely, probable",IF(AY153&lt;99,"very likely","almost certainly"))))))</f>
        <v>#DIV/0!</v>
      </c>
      <c r="BB154" s="235"/>
      <c r="BC154" s="242"/>
      <c r="BD154" s="24" t="str">
        <f>IF(BD153&lt;1,"almost certainly not",IF(BD153&lt;5,"very unlikely",IF(BD153&lt;25,"unlikely, probably not",IF(BD153&lt;75,"possibly, may (not)",IF(BD153&lt;95,"likely, probable",IF(BD153&lt;99,"very likely","almost certainly"))))))</f>
        <v>unlikely, probably not</v>
      </c>
      <c r="BG154" s="235"/>
      <c r="BH154" s="242"/>
      <c r="BI154" s="24" t="str">
        <f>IF(BI153&lt;1,"almost certainly not",IF(BI153&lt;5,"very unlikely",IF(BI153&lt;25,"unlikely, probably not",IF(BI153&lt;75,"possibly, may (not)",IF(BI153&lt;95,"likely, probable",IF(BI153&lt;99,"very likely","almost certainly"))))))</f>
        <v>almost certainly</v>
      </c>
      <c r="BJ154" s="24" t="str">
        <f>IF(BJ153&lt;1,"almost certainly not",IF(BJ153&lt;5,"very unlikely",IF(BJ153&lt;25,"unlikely, probably not",IF(BJ153&lt;75,"possibly, may (not)",IF(BJ153&lt;95,"likely, probable",IF(BJ153&lt;99,"very likely","almost certainly"))))))</f>
        <v>likely, probable</v>
      </c>
      <c r="BK154" s="24" t="str">
        <f>IF(BK153&lt;1,"almost certainly not",IF(BK153&lt;5,"very unlikely",IF(BK153&lt;25,"unlikely, probably not",IF(BK153&lt;75,"possibly, may (not)",IF(BK153&lt;95,"likely, probable",IF(BK153&lt;99,"very likely","almost certainly"))))))</f>
        <v>almost certainly not</v>
      </c>
      <c r="BL154" s="24" t="e">
        <f>IF(BL153&lt;1,"almost certainly not",IF(BL153&lt;5,"very unlikely",IF(BL153&lt;25,"unlikely, probably not",IF(BL153&lt;75,"possibly, may (not)",IF(BL153&lt;95,"likely, probable",IF(BL153&lt;99,"very likely","almost certainly"))))))</f>
        <v>#DIV/0!</v>
      </c>
    </row>
    <row r="155" spans="7:64" ht="12.75">
      <c r="G155" s="25"/>
      <c r="H155" s="29" t="s">
        <v>18</v>
      </c>
      <c r="I155" s="21">
        <f>$E$20</f>
        <v>90</v>
      </c>
      <c r="J155" s="21">
        <f>I155</f>
        <v>90</v>
      </c>
      <c r="K155" s="21">
        <f>J155</f>
        <v>90</v>
      </c>
      <c r="L155" s="21">
        <f>K155</f>
        <v>90</v>
      </c>
      <c r="O155" s="142"/>
      <c r="P155" s="76" t="s">
        <v>46</v>
      </c>
      <c r="Q155" s="78">
        <f>V155</f>
        <v>18.360015129048772</v>
      </c>
      <c r="T155" s="77"/>
      <c r="U155" s="76" t="s">
        <v>46</v>
      </c>
      <c r="V155" s="78">
        <f>Q79</f>
        <v>18.360015129048772</v>
      </c>
      <c r="W155" s="78">
        <f>V155</f>
        <v>18.360015129048772</v>
      </c>
      <c r="X155" s="78">
        <f>W155</f>
        <v>18.360015129048772</v>
      </c>
      <c r="Y155" s="78">
        <f>X155</f>
        <v>18.360015129048772</v>
      </c>
      <c r="AB155" s="142"/>
      <c r="AC155" s="76" t="s">
        <v>46</v>
      </c>
      <c r="AD155" s="78">
        <f>AI155</f>
        <v>29.20907007587212</v>
      </c>
      <c r="AG155" s="77"/>
      <c r="AH155" s="76" t="s">
        <v>46</v>
      </c>
      <c r="AI155" s="78">
        <f>AD79</f>
        <v>29.20907007587212</v>
      </c>
      <c r="AJ155" s="78">
        <f>AI155</f>
        <v>29.20907007587212</v>
      </c>
      <c r="AK155" s="78">
        <f>AJ155</f>
        <v>29.20907007587212</v>
      </c>
      <c r="AL155" s="78">
        <f>AK155</f>
        <v>29.20907007587212</v>
      </c>
      <c r="AO155" s="142"/>
      <c r="AP155" s="76" t="s">
        <v>46</v>
      </c>
      <c r="AQ155" s="78">
        <f>AV155</f>
        <v>0.3123412625035509</v>
      </c>
      <c r="AT155" s="77"/>
      <c r="AU155" s="76" t="s">
        <v>46</v>
      </c>
      <c r="AV155" s="78">
        <f>AQ79</f>
        <v>0.3123412625035509</v>
      </c>
      <c r="AW155" s="78">
        <f>AV155</f>
        <v>0.3123412625035509</v>
      </c>
      <c r="AX155" s="78">
        <f>AW155</f>
        <v>0.3123412625035509</v>
      </c>
      <c r="AY155" s="78">
        <f>AX155</f>
        <v>0.3123412625035509</v>
      </c>
      <c r="BB155" s="142"/>
      <c r="BC155" s="76" t="s">
        <v>46</v>
      </c>
      <c r="BD155" s="78">
        <f>BI155</f>
        <v>0.03327356109384144</v>
      </c>
      <c r="BG155" s="77"/>
      <c r="BH155" s="76" t="s">
        <v>46</v>
      </c>
      <c r="BI155" s="295">
        <f>BD79</f>
        <v>0.03327356109384144</v>
      </c>
      <c r="BJ155" s="295">
        <f>BI155</f>
        <v>0.03327356109384144</v>
      </c>
      <c r="BK155" s="295">
        <f>BJ155</f>
        <v>0.03327356109384144</v>
      </c>
      <c r="BL155" s="295">
        <f>BK155</f>
        <v>0.03327356109384144</v>
      </c>
    </row>
    <row r="156" spans="2:64" ht="12.75">
      <c r="B156" s="136"/>
      <c r="C156" s="137"/>
      <c r="D156" s="138"/>
      <c r="G156" s="25"/>
      <c r="H156" s="30" t="s">
        <v>30</v>
      </c>
      <c r="I156" s="23">
        <f>COUNT(I24:I43)-1</f>
        <v>19</v>
      </c>
      <c r="J156" s="23">
        <f>COUNT(J24:J43)-1</f>
        <v>18</v>
      </c>
      <c r="K156" s="23">
        <f>COUNT(K24:K43)-1</f>
        <v>18</v>
      </c>
      <c r="L156" s="23">
        <f>COUNT(L24:L43)-1</f>
        <v>-1</v>
      </c>
      <c r="O156" s="44"/>
      <c r="P156" s="43" t="s">
        <v>189</v>
      </c>
      <c r="Q156" s="84">
        <f>Q178/Q155</f>
        <v>0.6920299561606158</v>
      </c>
      <c r="T156" s="44"/>
      <c r="U156" s="45" t="s">
        <v>32</v>
      </c>
      <c r="V156" s="84">
        <f>V178/V155</f>
        <v>0.4543669620165916</v>
      </c>
      <c r="W156" s="84">
        <f>W178/W155</f>
        <v>0.5232244782984147</v>
      </c>
      <c r="X156" s="84">
        <f>X178/X155</f>
        <v>0.4388620503674429</v>
      </c>
      <c r="Y156" s="84" t="e">
        <f>Y178/Y155</f>
        <v>#DIV/0!</v>
      </c>
      <c r="AB156" s="44"/>
      <c r="AC156" s="43" t="s">
        <v>189</v>
      </c>
      <c r="AD156" s="84">
        <f>AD178/AD155</f>
        <v>0.5511935786838077</v>
      </c>
      <c r="AG156" s="44"/>
      <c r="AH156" s="45" t="s">
        <v>32</v>
      </c>
      <c r="AI156" s="84">
        <f>AI178/AI155</f>
        <v>0.44241920008022584</v>
      </c>
      <c r="AJ156" s="84">
        <f>AJ178/AJ155</f>
        <v>0.5716279111672451</v>
      </c>
      <c r="AK156" s="84">
        <f>AK178/AK155</f>
        <v>0.3031730459607746</v>
      </c>
      <c r="AL156" s="84" t="e">
        <f>AL178/AL155</f>
        <v>#DIV/0!</v>
      </c>
      <c r="AO156" s="44"/>
      <c r="AP156" s="43" t="s">
        <v>189</v>
      </c>
      <c r="AQ156" s="84">
        <f>AQ178/AQ155</f>
        <v>0.6401833110878825</v>
      </c>
      <c r="AT156" s="44"/>
      <c r="AU156" s="45" t="s">
        <v>32</v>
      </c>
      <c r="AV156" s="84">
        <f>AV178/AV155</f>
        <v>0.436617239798939</v>
      </c>
      <c r="AW156" s="84">
        <f>AW178/AW155</f>
        <v>0.48477117665023717</v>
      </c>
      <c r="AX156" s="84">
        <f>AX178/AX155</f>
        <v>0.4310122818371665</v>
      </c>
      <c r="AY156" s="84" t="e">
        <f>AY178/AY155</f>
        <v>#DIV/0!</v>
      </c>
      <c r="BB156" s="44"/>
      <c r="BC156" s="43" t="s">
        <v>189</v>
      </c>
      <c r="BD156" s="84">
        <f>BD178/BD155</f>
        <v>0.6335904094412</v>
      </c>
      <c r="BG156" s="44"/>
      <c r="BH156" s="45" t="s">
        <v>32</v>
      </c>
      <c r="BI156" s="84">
        <f>BI178/BI155</f>
        <v>0.4356596540134092</v>
      </c>
      <c r="BJ156" s="84">
        <f>BJ178/BJ155</f>
        <v>0.47922272741079547</v>
      </c>
      <c r="BK156" s="84">
        <f>BK178/BK155</f>
        <v>0.43234802915326387</v>
      </c>
      <c r="BL156" s="84" t="e">
        <f>BL178/BL155</f>
        <v>#DIV/0!</v>
      </c>
    </row>
    <row r="157" spans="2:64" ht="12.75" customHeight="1">
      <c r="B157" s="139"/>
      <c r="C157" s="140"/>
      <c r="D157" s="141"/>
      <c r="G157" s="219" t="s">
        <v>159</v>
      </c>
      <c r="H157" s="220"/>
      <c r="I157" s="220"/>
      <c r="J157" s="220"/>
      <c r="K157" s="220"/>
      <c r="L157" s="221"/>
      <c r="O157" s="226" t="str">
        <f>CONCATENATE(TEXT($E$20,"0"),"% confidence
limits (approx.)")</f>
        <v>90% confidence
limits (approx.)</v>
      </c>
      <c r="P157" s="26" t="s">
        <v>19</v>
      </c>
      <c r="Q157" s="85">
        <f>Q179/Q155</f>
        <v>-0.5616600288695407</v>
      </c>
      <c r="T157" s="226" t="str">
        <f>CONCATENATE(TEXT($E$20,"0"),"% confidence
limits (approx.)")</f>
        <v>90% confidence
limits (approx.)</v>
      </c>
      <c r="U157" s="26" t="s">
        <v>19</v>
      </c>
      <c r="V157" s="85">
        <f>V179/V155</f>
        <v>0.2003276313674259</v>
      </c>
      <c r="W157" s="85">
        <f>W179/W155</f>
        <v>-0.01806788250959938</v>
      </c>
      <c r="X157" s="85">
        <f>X179/X155</f>
        <v>-0.24226587985121617</v>
      </c>
      <c r="Y157" s="85" t="e">
        <f>Y179/Y155</f>
        <v>#DIV/0!</v>
      </c>
      <c r="AB157" s="226" t="str">
        <f>CONCATENATE(TEXT($E$20,"0"),"% confidence
limits (approx.)")</f>
        <v>90% confidence
limits (approx.)</v>
      </c>
      <c r="AC157" s="26" t="s">
        <v>19</v>
      </c>
      <c r="AD157" s="85">
        <f>AD179/AD155</f>
        <v>-0.6865432600861374</v>
      </c>
      <c r="AG157" s="226" t="str">
        <f>CONCATENATE(TEXT($E$20,"0"),"% confidence
limits (approx.)")</f>
        <v>90% confidence
limits (approx.)</v>
      </c>
      <c r="AH157" s="26" t="s">
        <v>19</v>
      </c>
      <c r="AI157" s="85">
        <f>AI179/AI155</f>
        <v>0.14778236352956536</v>
      </c>
      <c r="AJ157" s="85">
        <f>AJ179/AJ155</f>
        <v>0.10442432179433465</v>
      </c>
      <c r="AK157" s="85">
        <f>AK179/AK155</f>
        <v>-0.3883785690155108</v>
      </c>
      <c r="AL157" s="85" t="e">
        <f>AL179/AL155</f>
        <v>#DIV/0!</v>
      </c>
      <c r="AO157" s="226" t="str">
        <f>CONCATENATE(TEXT($E$20,"0"),"% confidence
limits (approx.)")</f>
        <v>90% confidence
limits (approx.)</v>
      </c>
      <c r="AP157" s="26" t="s">
        <v>19</v>
      </c>
      <c r="AQ157" s="85">
        <f>AQ179/AQ155</f>
        <v>-0.615086372219245</v>
      </c>
      <c r="AT157" s="226" t="str">
        <f>CONCATENATE(TEXT($E$20,"0"),"% confidence
limits (approx.)")</f>
        <v>90% confidence
limits (approx.)</v>
      </c>
      <c r="AU157" s="26" t="s">
        <v>19</v>
      </c>
      <c r="AV157" s="85">
        <f>AV179/AV155</f>
        <v>0.17901424562863724</v>
      </c>
      <c r="AW157" s="85">
        <f>AW179/AW155</f>
        <v>-0.18197752725415084</v>
      </c>
      <c r="AX157" s="85">
        <f>AX179/AX155</f>
        <v>-0.2617271254702231</v>
      </c>
      <c r="AY157" s="85" t="e">
        <f>AY179/AY155</f>
        <v>#DIV/0!</v>
      </c>
      <c r="BB157" s="226" t="str">
        <f>CONCATENATE(TEXT($E$20,"0"),"% confidence
limits (approx.)")</f>
        <v>90% confidence
limits (approx.)</v>
      </c>
      <c r="BC157" s="26" t="s">
        <v>19</v>
      </c>
      <c r="BD157" s="85">
        <f>BD179/BD155</f>
        <v>-0.6213119385493622</v>
      </c>
      <c r="BG157" s="226" t="str">
        <f>CONCATENATE(TEXT($E$20,"0"),"% confidence
limits (approx.)")</f>
        <v>90% confidence
limits (approx.)</v>
      </c>
      <c r="BH157" s="26" t="s">
        <v>19</v>
      </c>
      <c r="BI157" s="85">
        <f>BI179/BI155</f>
        <v>0.17779941856377615</v>
      </c>
      <c r="BJ157" s="85">
        <f>BJ179/BJ155</f>
        <v>-0.19474175563206197</v>
      </c>
      <c r="BK157" s="85">
        <f>BK179/BK155</f>
        <v>-0.26218343455445753</v>
      </c>
      <c r="BL157" s="85" t="e">
        <f>BL179/BL155</f>
        <v>#DIV/0!</v>
      </c>
    </row>
    <row r="158" spans="7:64" ht="24">
      <c r="G158" s="25"/>
      <c r="H158" s="36" t="s">
        <v>160</v>
      </c>
      <c r="I158" s="189">
        <f>I45/SQRT(2)</f>
        <v>0.46161900444322884</v>
      </c>
      <c r="J158" s="189">
        <f>J45/SQRT(2)</f>
        <v>0.7385777386459682</v>
      </c>
      <c r="K158" s="189">
        <f>K45/SQRT(2)</f>
        <v>0.7404558418981985</v>
      </c>
      <c r="L158" s="188" t="e">
        <f>L45/SQRT(2)</f>
        <v>#DIV/0!</v>
      </c>
      <c r="O158" s="227"/>
      <c r="P158" s="15" t="s">
        <v>20</v>
      </c>
      <c r="Q158" s="86">
        <f>Q180/Q155</f>
        <v>1.1283939509218666</v>
      </c>
      <c r="T158" s="227"/>
      <c r="U158" s="15" t="s">
        <v>20</v>
      </c>
      <c r="V158" s="86">
        <f>V180/V155</f>
        <v>0.6105468961964267</v>
      </c>
      <c r="W158" s="86">
        <f>W180/W155</f>
        <v>0.740171708294553</v>
      </c>
      <c r="X158" s="86">
        <f>X180/X155</f>
        <v>0.6662526210421358</v>
      </c>
      <c r="Y158" s="86" t="e">
        <f>Y180/Y155</f>
        <v>#DIV/0!</v>
      </c>
      <c r="AB158" s="227"/>
      <c r="AC158" s="15" t="s">
        <v>20</v>
      </c>
      <c r="AD158" s="86">
        <f>AD180/AD155</f>
        <v>1.038734985611935</v>
      </c>
      <c r="AG158" s="227"/>
      <c r="AH158" s="15" t="s">
        <v>20</v>
      </c>
      <c r="AI158" s="86">
        <f>AI180/AI155</f>
        <v>0.6079719321061369</v>
      </c>
      <c r="AJ158" s="86">
        <f>AJ180/AJ155</f>
        <v>0.801631148763974</v>
      </c>
      <c r="AK158" s="86">
        <f>AK180/AK155</f>
        <v>0.578502985700855</v>
      </c>
      <c r="AL158" s="86" t="e">
        <f>AL180/AL155</f>
        <v>#DIV/0!</v>
      </c>
      <c r="AO158" s="227"/>
      <c r="AP158" s="15" t="s">
        <v>20</v>
      </c>
      <c r="AQ158" s="86">
        <f>AQ180/AQ155</f>
        <v>1.094532132411251</v>
      </c>
      <c r="AT158" s="227"/>
      <c r="AU158" s="15" t="s">
        <v>20</v>
      </c>
      <c r="AV158" s="86">
        <f>AV180/AV155</f>
        <v>0.5909510369237864</v>
      </c>
      <c r="AW158" s="86">
        <f>AW180/AW155</f>
        <v>0.7093109387618703</v>
      </c>
      <c r="AX158" s="86">
        <f>AX180/AX155</f>
        <v>0.663358321268278</v>
      </c>
      <c r="AY158" s="86" t="e">
        <f>AY180/AY155</f>
        <v>#DIV/0!</v>
      </c>
      <c r="BB158" s="227"/>
      <c r="BC158" s="15" t="s">
        <v>20</v>
      </c>
      <c r="BD158" s="86">
        <f>BD180/BD155</f>
        <v>1.090367891519051</v>
      </c>
      <c r="BG158" s="227"/>
      <c r="BH158" s="15" t="s">
        <v>20</v>
      </c>
      <c r="BI158" s="86">
        <f>BI180/BI155</f>
        <v>0.5899034116095192</v>
      </c>
      <c r="BJ158" s="86">
        <f>BJ180/BJ155</f>
        <v>0.7051476415054798</v>
      </c>
      <c r="BK158" s="86">
        <f>BK180/BK155</f>
        <v>0.6652742216411173</v>
      </c>
      <c r="BL158" s="86" t="e">
        <f>BL180/BL155</f>
        <v>#DIV/0!</v>
      </c>
    </row>
    <row r="159" spans="7:54" ht="12.75">
      <c r="G159" s="243" t="str">
        <f>CONCATENATE(TEXT($E$20,"0"),"% confidence
limits")</f>
        <v>90% confidence
limits</v>
      </c>
      <c r="H159" s="26" t="s">
        <v>19</v>
      </c>
      <c r="I159" s="85">
        <f>SQRT(I156*I158^2/CHIINV((100-I155)/100/2,I156))</f>
        <v>0.3664912458441611</v>
      </c>
      <c r="J159" s="85">
        <f>SQRT(J156*J158^2/CHIINV((100-J155)/100/2,J156))</f>
        <v>0.5831955230550845</v>
      </c>
      <c r="K159" s="85">
        <f>SQRT(K156*K158^2/CHIINV((100-K155)/100/2,K156))</f>
        <v>0.5846785103578752</v>
      </c>
      <c r="L159" s="88" t="e">
        <f>SQRT(L156*L158^2/CHIINV((100-L155)/100/2,L156))</f>
        <v>#DIV/0!</v>
      </c>
      <c r="O159" s="81" t="s">
        <v>10</v>
      </c>
      <c r="AB159" s="119" t="s">
        <v>124</v>
      </c>
      <c r="AO159" s="81" t="s">
        <v>110</v>
      </c>
      <c r="BB159" s="81" t="s">
        <v>128</v>
      </c>
    </row>
    <row r="160" spans="7:12" ht="12.75">
      <c r="G160" s="244"/>
      <c r="H160" s="15" t="s">
        <v>20</v>
      </c>
      <c r="I160" s="86">
        <f>SQRT(I156*I158^2/CHIINV(1-(100-I155)/100/2,I156))</f>
        <v>0.632607699254439</v>
      </c>
      <c r="J160" s="86">
        <f>SQRT(J156*J158^2/CHIINV(1-(100-J155)/100/2,J156))</f>
        <v>1.0225612076578081</v>
      </c>
      <c r="K160" s="86">
        <f>SQRT(K156*K158^2/CHIINV(1-(100-K155)/100/2,K156))</f>
        <v>1.0251614424458582</v>
      </c>
      <c r="L160" s="93" t="e">
        <f>SQRT(L156*L158^2/CHIINV(1-(100-L155)/100/2,L156))</f>
        <v>#DIV/0!</v>
      </c>
    </row>
    <row r="161" spans="7:64" ht="26.25" customHeight="1">
      <c r="G161" s="245"/>
      <c r="H161" s="16" t="s">
        <v>43</v>
      </c>
      <c r="I161" s="84">
        <f>SQRT(I160/I159)</f>
        <v>1.31381868462945</v>
      </c>
      <c r="J161" s="84">
        <f>SQRT(J160/J159)</f>
        <v>1.324151161591075</v>
      </c>
      <c r="K161" s="84">
        <f>SQRT(K160/K159)</f>
        <v>1.324151161591075</v>
      </c>
      <c r="L161" s="84" t="e">
        <f>SQRT(L160/L159)</f>
        <v>#DIV/0!</v>
      </c>
      <c r="O161" s="253" t="s">
        <v>177</v>
      </c>
      <c r="P161" s="254"/>
      <c r="Q161" s="122" t="str">
        <f>Q23</f>
        <v>Pre</v>
      </c>
      <c r="T161" s="197" t="s">
        <v>35</v>
      </c>
      <c r="U161" s="198"/>
      <c r="V161" s="122" t="str">
        <f>V23</f>
        <v>Post1-Pre</v>
      </c>
      <c r="W161" s="122" t="str">
        <f>W23</f>
        <v>Post2-Pre</v>
      </c>
      <c r="X161" s="122" t="str">
        <f>X23</f>
        <v>Post2-Post1</v>
      </c>
      <c r="Y161" s="122" t="str">
        <f>Y23</f>
        <v>other effect</v>
      </c>
      <c r="AB161" s="253" t="s">
        <v>179</v>
      </c>
      <c r="AC161" s="254"/>
      <c r="AD161" s="122" t="str">
        <f>AD23</f>
        <v>Pre</v>
      </c>
      <c r="AG161" s="196" t="s">
        <v>38</v>
      </c>
      <c r="AH161" s="199"/>
      <c r="AI161" s="122" t="str">
        <f>AI23</f>
        <v>Post1-Pre</v>
      </c>
      <c r="AJ161" s="122" t="str">
        <f>AJ23</f>
        <v>Post2-Pre</v>
      </c>
      <c r="AK161" s="122" t="str">
        <f>AK23</f>
        <v>Post2-Post1</v>
      </c>
      <c r="AL161" s="122" t="str">
        <f>AL23</f>
        <v>other effect</v>
      </c>
      <c r="AO161" s="253" t="s">
        <v>180</v>
      </c>
      <c r="AP161" s="254"/>
      <c r="AQ161" s="122" t="str">
        <f>AQ23</f>
        <v>Pre</v>
      </c>
      <c r="AT161" s="269" t="s">
        <v>113</v>
      </c>
      <c r="AU161" s="270"/>
      <c r="AV161" s="122" t="str">
        <f>AV23</f>
        <v>Post1-Pre</v>
      </c>
      <c r="AW161" s="122" t="str">
        <f>AW23</f>
        <v>Post2-Pre</v>
      </c>
      <c r="AX161" s="122" t="str">
        <f>AX23</f>
        <v>Post2-Post1</v>
      </c>
      <c r="AY161" s="122" t="str">
        <f>AY23</f>
        <v>other effect</v>
      </c>
      <c r="BB161" s="253" t="s">
        <v>180</v>
      </c>
      <c r="BC161" s="254"/>
      <c r="BD161" s="122" t="str">
        <f>BD23</f>
        <v>Pre</v>
      </c>
      <c r="BG161" s="269" t="s">
        <v>113</v>
      </c>
      <c r="BH161" s="270"/>
      <c r="BI161" s="122" t="str">
        <f>BI23</f>
        <v>Post1-Pre</v>
      </c>
      <c r="BJ161" s="122" t="str">
        <f>BJ23</f>
        <v>Post2-Pre</v>
      </c>
      <c r="BK161" s="122" t="str">
        <f>BK23</f>
        <v>Post2-Post1</v>
      </c>
      <c r="BL161" s="122" t="str">
        <f>BL23</f>
        <v>other effect</v>
      </c>
    </row>
    <row r="162" spans="7:64" ht="12.75">
      <c r="G162" s="219" t="s">
        <v>156</v>
      </c>
      <c r="H162" s="220"/>
      <c r="I162" s="220"/>
      <c r="J162" s="220"/>
      <c r="K162" s="220"/>
      <c r="L162" s="221"/>
      <c r="O162" s="25"/>
      <c r="P162" s="28" t="s">
        <v>5</v>
      </c>
      <c r="Q162" s="200">
        <f>Q90</f>
        <v>0.8230030602483565</v>
      </c>
      <c r="T162" s="25"/>
      <c r="U162" s="28" t="s">
        <v>5</v>
      </c>
      <c r="V162" s="200">
        <f>V90</f>
        <v>0.00018676715563604773</v>
      </c>
      <c r="W162" s="200">
        <f>W90</f>
        <v>0.05785837564613804</v>
      </c>
      <c r="X162" s="200">
        <f>X90</f>
        <v>0.16167097462604385</v>
      </c>
      <c r="Y162" s="200" t="e">
        <f>Y90</f>
        <v>#DIV/0!</v>
      </c>
      <c r="AB162" s="25"/>
      <c r="AC162" s="28" t="s">
        <v>5</v>
      </c>
      <c r="AD162" s="200">
        <f>AD90</f>
        <v>0.5342582785184237</v>
      </c>
      <c r="AG162" s="25"/>
      <c r="AH162" s="28" t="s">
        <v>5</v>
      </c>
      <c r="AI162" s="200">
        <f>AI90</f>
        <v>0.0017852229397824137</v>
      </c>
      <c r="AJ162" s="200">
        <f>AJ90</f>
        <v>0.05533210340964405</v>
      </c>
      <c r="AK162" s="200">
        <f>AK90</f>
        <v>0.4581189813578652</v>
      </c>
      <c r="AL162" s="200" t="e">
        <f>AL90</f>
        <v>#DIV/0!</v>
      </c>
      <c r="AO162" s="25"/>
      <c r="AP162" s="28" t="s">
        <v>5</v>
      </c>
      <c r="AQ162" s="200">
        <f>AQ90</f>
        <v>0.772371756694703</v>
      </c>
      <c r="AT162" s="25"/>
      <c r="AU162" s="28" t="s">
        <v>5</v>
      </c>
      <c r="AV162" s="200">
        <f>AV90</f>
        <v>0.00019345866928094564</v>
      </c>
      <c r="AW162" s="200">
        <f>AW90</f>
        <v>0.06282163854920186</v>
      </c>
      <c r="AX162" s="200">
        <f>AX90</f>
        <v>0.17419876716842198</v>
      </c>
      <c r="AY162" s="200" t="e">
        <f>AY90</f>
        <v>#DIV/0!</v>
      </c>
      <c r="BB162" s="25"/>
      <c r="BC162" s="28" t="s">
        <v>5</v>
      </c>
      <c r="BD162" s="200">
        <f>BD90</f>
        <v>0.7668930764412133</v>
      </c>
      <c r="BG162" s="25"/>
      <c r="BH162" s="28" t="s">
        <v>5</v>
      </c>
      <c r="BI162" s="200">
        <f>BI90</f>
        <v>0.0001956434381669854</v>
      </c>
      <c r="BJ162" s="200">
        <f>BJ90</f>
        <v>0.0637642198236975</v>
      </c>
      <c r="BK162" s="200">
        <f>BK90</f>
        <v>0.17515008021004075</v>
      </c>
      <c r="BL162" s="200" t="e">
        <f>BL90</f>
        <v>#DIV/0!</v>
      </c>
    </row>
    <row r="163" spans="7:64" ht="12.75">
      <c r="G163" s="25"/>
      <c r="H163" s="36" t="s">
        <v>157</v>
      </c>
      <c r="I163" s="189">
        <f>I158/I133</f>
        <v>0.21508475308613856</v>
      </c>
      <c r="J163" s="189">
        <f>J158/J133</f>
        <v>0.3441297022491267</v>
      </c>
      <c r="K163" s="189">
        <f>K158/K133</f>
        <v>0.3450047775176665</v>
      </c>
      <c r="L163" s="189" t="e">
        <f>L158/L133</f>
        <v>#DIV/0!</v>
      </c>
      <c r="O163" s="25"/>
      <c r="P163" s="29" t="s">
        <v>18</v>
      </c>
      <c r="Q163" s="21">
        <f>$E$20</f>
        <v>90</v>
      </c>
      <c r="T163" s="25"/>
      <c r="U163" s="29" t="s">
        <v>18</v>
      </c>
      <c r="V163" s="21">
        <f>$E$20</f>
        <v>90</v>
      </c>
      <c r="W163" s="21">
        <f>V163</f>
        <v>90</v>
      </c>
      <c r="X163" s="21">
        <f>W163</f>
        <v>90</v>
      </c>
      <c r="Y163" s="21">
        <f>X163</f>
        <v>90</v>
      </c>
      <c r="AB163" s="25"/>
      <c r="AC163" s="29" t="s">
        <v>18</v>
      </c>
      <c r="AD163" s="21">
        <f>$E$20</f>
        <v>90</v>
      </c>
      <c r="AG163" s="25"/>
      <c r="AH163" s="29" t="s">
        <v>18</v>
      </c>
      <c r="AI163" s="21">
        <f>$E$20</f>
        <v>90</v>
      </c>
      <c r="AJ163" s="21">
        <f>AI163</f>
        <v>90</v>
      </c>
      <c r="AK163" s="21">
        <f>AJ163</f>
        <v>90</v>
      </c>
      <c r="AL163" s="21">
        <f>AK163</f>
        <v>90</v>
      </c>
      <c r="AO163" s="25"/>
      <c r="AP163" s="29" t="s">
        <v>18</v>
      </c>
      <c r="AQ163" s="21">
        <f>$E$20</f>
        <v>90</v>
      </c>
      <c r="AT163" s="25"/>
      <c r="AU163" s="29" t="s">
        <v>18</v>
      </c>
      <c r="AV163" s="21">
        <f>$E$20</f>
        <v>90</v>
      </c>
      <c r="AW163" s="21">
        <f>AV163</f>
        <v>90</v>
      </c>
      <c r="AX163" s="21">
        <f>AW163</f>
        <v>90</v>
      </c>
      <c r="AY163" s="21">
        <f>AX163</f>
        <v>90</v>
      </c>
      <c r="BB163" s="25"/>
      <c r="BC163" s="29" t="s">
        <v>18</v>
      </c>
      <c r="BD163" s="21">
        <f>$E$20</f>
        <v>90</v>
      </c>
      <c r="BG163" s="25"/>
      <c r="BH163" s="29" t="s">
        <v>18</v>
      </c>
      <c r="BI163" s="21">
        <f>$E$20</f>
        <v>90</v>
      </c>
      <c r="BJ163" s="21">
        <f>BI163</f>
        <v>90</v>
      </c>
      <c r="BK163" s="21">
        <f>BJ163</f>
        <v>90</v>
      </c>
      <c r="BL163" s="21">
        <f>BK163</f>
        <v>90</v>
      </c>
    </row>
    <row r="164" spans="7:64" ht="12.75">
      <c r="G164" s="243" t="str">
        <f>CONCATENATE(TEXT($E$20,"0"),"% confidence
limits")</f>
        <v>90% confidence
limits</v>
      </c>
      <c r="H164" s="26" t="s">
        <v>19</v>
      </c>
      <c r="I164" s="85">
        <f>SQRT(I156*I163^2/CHIINV((100-I155)/100/2,I156))</f>
        <v>0.1707613385971786</v>
      </c>
      <c r="J164" s="85">
        <f>SQRT(J156*J163^2/CHIINV((100-J155)/100/2,J156))</f>
        <v>0.27173158788931706</v>
      </c>
      <c r="K164" s="85">
        <f>SQRT(K156*K163^2/CHIINV((100-K155)/100/2,K156))</f>
        <v>0.27242256454924757</v>
      </c>
      <c r="L164" s="85" t="e">
        <f>SQRT(L156*L163^2/CHIINV((100-L155)/100/2,L156))</f>
        <v>#DIV/0!</v>
      </c>
      <c r="O164" s="25"/>
      <c r="P164" s="30" t="s">
        <v>30</v>
      </c>
      <c r="Q164" s="23">
        <f>Q91</f>
        <v>36.033286367305585</v>
      </c>
      <c r="T164" s="25"/>
      <c r="U164" s="30" t="s">
        <v>30</v>
      </c>
      <c r="V164" s="33">
        <f>V91</f>
        <v>29.662574188839212</v>
      </c>
      <c r="W164" s="23">
        <f>W91</f>
        <v>32.74640813141246</v>
      </c>
      <c r="X164" s="23">
        <f>X91</f>
        <v>34.76139444273444</v>
      </c>
      <c r="Y164" s="23" t="e">
        <f>Y91</f>
        <v>#DIV/0!</v>
      </c>
      <c r="AB164" s="25"/>
      <c r="AC164" s="30" t="s">
        <v>30</v>
      </c>
      <c r="AD164" s="23">
        <f>AD91</f>
        <v>37.16876697204957</v>
      </c>
      <c r="AG164" s="25"/>
      <c r="AH164" s="30" t="s">
        <v>30</v>
      </c>
      <c r="AI164" s="33">
        <f>AI91</f>
        <v>31.144399579340767</v>
      </c>
      <c r="AJ164" s="23">
        <f>AJ91</f>
        <v>32.37733572808956</v>
      </c>
      <c r="AK164" s="23">
        <f>AK91</f>
        <v>36.678434503376046</v>
      </c>
      <c r="AL164" s="23" t="e">
        <f>AL91</f>
        <v>#DIV/0!</v>
      </c>
      <c r="AO164" s="25"/>
      <c r="AP164" s="30" t="s">
        <v>30</v>
      </c>
      <c r="AQ164" s="23">
        <f>AQ91</f>
        <v>36.536925228691416</v>
      </c>
      <c r="AT164" s="25"/>
      <c r="AU164" s="30" t="s">
        <v>30</v>
      </c>
      <c r="AV164" s="33">
        <f>AV91</f>
        <v>30.181121053002027</v>
      </c>
      <c r="AW164" s="23">
        <f>AW91</f>
        <v>33.8900064349194</v>
      </c>
      <c r="AX164" s="23">
        <f>AX91</f>
        <v>35.013347260782</v>
      </c>
      <c r="AY164" s="23" t="e">
        <f>AY91</f>
        <v>#DIV/0!</v>
      </c>
      <c r="BB164" s="25"/>
      <c r="BC164" s="30" t="s">
        <v>30</v>
      </c>
      <c r="BD164" s="23">
        <f>BD91</f>
        <v>36.593771413389014</v>
      </c>
      <c r="BG164" s="25"/>
      <c r="BH164" s="30" t="s">
        <v>30</v>
      </c>
      <c r="BI164" s="33">
        <f>BI91</f>
        <v>30.210064511508435</v>
      </c>
      <c r="BJ164" s="23">
        <f>BJ91</f>
        <v>34.04451070959678</v>
      </c>
      <c r="BK164" s="23">
        <f>BK91</f>
        <v>35.00972028257318</v>
      </c>
      <c r="BL164" s="23" t="e">
        <f>BL91</f>
        <v>#DIV/0!</v>
      </c>
    </row>
    <row r="165" spans="7:64" ht="12.75">
      <c r="G165" s="244"/>
      <c r="H165" s="15" t="s">
        <v>20</v>
      </c>
      <c r="I165" s="86">
        <f>SQRT(I156*I163^2/CHIINV(1-(100-I155)/100/2,I156))</f>
        <v>0.29475448256001074</v>
      </c>
      <c r="J165" s="86">
        <f>SQRT(J156*J163^2/CHIINV(1-(100-J155)/100/2,J156))</f>
        <v>0.47644772582492706</v>
      </c>
      <c r="K165" s="86">
        <f>SQRT(K156*K163^2/CHIINV(1-(100-K155)/100/2,K156))</f>
        <v>0.47765926792343383</v>
      </c>
      <c r="L165" s="86" t="e">
        <f>SQRT(L156*L163^2/CHIINV(1-(100-L155)/100/2,L156))</f>
        <v>#DIV/0!</v>
      </c>
      <c r="O165" s="25"/>
      <c r="P165" s="36" t="s">
        <v>91</v>
      </c>
      <c r="Q165" s="201">
        <f>Q85</f>
        <v>1.324415232258076</v>
      </c>
      <c r="T165" s="25"/>
      <c r="U165" s="36" t="s">
        <v>91</v>
      </c>
      <c r="V165" s="201">
        <f>V85</f>
        <v>-10.927105380423786</v>
      </c>
      <c r="W165" s="201">
        <f>W85</f>
        <v>-6.654547670575762</v>
      </c>
      <c r="X165" s="201">
        <f>X85</f>
        <v>4.713958619156024</v>
      </c>
      <c r="Y165" s="201" t="e">
        <f>Y85</f>
        <v>#DIV/0!</v>
      </c>
      <c r="AB165" s="25"/>
      <c r="AC165" s="36" t="s">
        <v>91</v>
      </c>
      <c r="AD165" s="201">
        <f>AD85</f>
        <v>5.840336134453793</v>
      </c>
      <c r="AG165" s="25"/>
      <c r="AH165" s="36" t="s">
        <v>91</v>
      </c>
      <c r="AI165" s="201">
        <f>AI85</f>
        <v>-14.411764705882353</v>
      </c>
      <c r="AJ165" s="201">
        <f>AJ85</f>
        <v>-11.457319770013271</v>
      </c>
      <c r="AK165" s="201">
        <f>AK85</f>
        <v>3.931888544891641</v>
      </c>
      <c r="AL165" s="201" t="e">
        <f>AL85</f>
        <v>#DIV/0!</v>
      </c>
      <c r="AO165" s="25"/>
      <c r="AP165" s="36" t="s">
        <v>91</v>
      </c>
      <c r="AQ165" s="201">
        <f>AQ85</f>
        <v>0.0291284369965763</v>
      </c>
      <c r="AT165" s="25"/>
      <c r="AU165" s="36" t="s">
        <v>91</v>
      </c>
      <c r="AV165" s="211">
        <f>AV85</f>
        <v>-0.18133544259971698</v>
      </c>
      <c r="AW165" s="211">
        <f>AW85</f>
        <v>-0.1106315681409572</v>
      </c>
      <c r="AX165" s="211">
        <f>AX85</f>
        <v>0.07841596529351413</v>
      </c>
      <c r="AY165" s="211" t="e">
        <f>AY85</f>
        <v>#DIV/0!</v>
      </c>
      <c r="BB165" s="25"/>
      <c r="BC165" s="36" t="s">
        <v>91</v>
      </c>
      <c r="BD165" s="214">
        <f>BD85</f>
        <v>0.0031798000803552884</v>
      </c>
      <c r="BG165" s="25"/>
      <c r="BH165" s="36" t="s">
        <v>91</v>
      </c>
      <c r="BI165" s="214">
        <f>BI85</f>
        <v>-0.01927687015415655</v>
      </c>
      <c r="BJ165" s="214">
        <f>BJ85</f>
        <v>-0.011742891145905108</v>
      </c>
      <c r="BK165" s="214">
        <f>BK85</f>
        <v>0.008357255020773963</v>
      </c>
      <c r="BL165" s="201" t="e">
        <f>BL85</f>
        <v>#DIV/0!</v>
      </c>
    </row>
    <row r="166" spans="7:64" ht="15">
      <c r="G166" s="245"/>
      <c r="H166" s="16" t="s">
        <v>43</v>
      </c>
      <c r="I166" s="84">
        <f>SQRT(I165/I164)</f>
        <v>1.31381868462945</v>
      </c>
      <c r="J166" s="84">
        <f>SQRT(J165/J164)</f>
        <v>1.324151161591075</v>
      </c>
      <c r="K166" s="84">
        <f>SQRT(K165/K164)</f>
        <v>1.324151161591075</v>
      </c>
      <c r="L166" s="84" t="e">
        <f>SQRT(L165/L164)</f>
        <v>#DIV/0!</v>
      </c>
      <c r="O166" s="243" t="str">
        <f>CONCATENATE(TEXT($E$20,"0"),"% confidence
limits")</f>
        <v>90% confidence
limits</v>
      </c>
      <c r="P166" s="26" t="s">
        <v>19</v>
      </c>
      <c r="Q166" s="186">
        <f>Q165-TINV((100-Q163)/100,Q164)*ABS(Q165)/TINV(Q162,Q164)</f>
        <v>-8.599206682235215</v>
      </c>
      <c r="T166" s="243" t="str">
        <f>CONCATENATE(TEXT($E$20,"0"),"% confidence
limits")</f>
        <v>90% confidence
limits</v>
      </c>
      <c r="U166" s="26" t="s">
        <v>19</v>
      </c>
      <c r="V166" s="186">
        <f>V165-TINV((100-V163)/100,V164)*ABS(V165)/TINV(V162,V164)</f>
        <v>-15.266843378459823</v>
      </c>
      <c r="W166" s="186">
        <f>W165-TINV((100-W163)/100,W164)*ABS(W165)/TINV(W162,W164)</f>
        <v>-12.384018587689535</v>
      </c>
      <c r="X166" s="186">
        <f>X165-TINV((100-X163)/100,X164)*ABS(X165)/TINV(X162,X164)</f>
        <v>-0.8577767501298075</v>
      </c>
      <c r="Y166" s="186" t="e">
        <f>Y165-TINV((100-Y163)/100,Y164)*ABS(Y165)/TINV(Y162,Y164)</f>
        <v>#DIV/0!</v>
      </c>
      <c r="AB166" s="243" t="str">
        <f>CONCATENATE(TEXT($E$20,"0"),"% confidence
limits")</f>
        <v>90% confidence
limits</v>
      </c>
      <c r="AC166" s="26" t="s">
        <v>19</v>
      </c>
      <c r="AD166" s="186">
        <f>AD165-TINV((100-AD163)/100,AD164)*ABS(AD165)/TINV(AD162,AD164)</f>
        <v>-9.864785089472878</v>
      </c>
      <c r="AG166" s="252" t="str">
        <f>CONCATENATE(TEXT($E$20,"0"),"% confidence
limits")</f>
        <v>90% confidence
limits</v>
      </c>
      <c r="AH166" s="26" t="s">
        <v>19</v>
      </c>
      <c r="AI166" s="186">
        <f>AI165-TINV((100-AI163)/100,AI164)*ABS(AI165)/TINV(AI162,AI164)</f>
        <v>-21.561509304980188</v>
      </c>
      <c r="AJ166" s="186">
        <f>AJ165-TINV((100-AJ163)/100,AJ164)*ABS(AJ165)/TINV(AJ162,AJ164)</f>
        <v>-21.215716077536577</v>
      </c>
      <c r="AK166" s="186">
        <f>AK165-TINV((100-AK163)/100,AK164)*ABS(AK165)/TINV(AK162,AK164)</f>
        <v>-4.9188523417604015</v>
      </c>
      <c r="AL166" s="186" t="e">
        <f>AL165-TINV((100-AL163)/100,AL164)*ABS(AL165)/TINV(AL162,AL164)</f>
        <v>#DIV/0!</v>
      </c>
      <c r="AO166" s="243" t="str">
        <f>CONCATENATE(TEXT($E$20,"0"),"% confidence
limits")</f>
        <v>90% confidence
limits</v>
      </c>
      <c r="AP166" s="26" t="s">
        <v>19</v>
      </c>
      <c r="AQ166" s="186">
        <f>AQ165-TINV((100-AQ163)/100,AQ164)*ABS(AQ165)/TINV(AQ162,AQ164)</f>
        <v>-0.1395988512184771</v>
      </c>
      <c r="AT166" s="252" t="str">
        <f>CONCATENATE(TEXT($E$20,"0"),"% confidence
limits")</f>
        <v>90% confidence
limits</v>
      </c>
      <c r="AU166" s="26" t="s">
        <v>19</v>
      </c>
      <c r="AV166" s="191">
        <f>AV165-TINV((100-AV163)/100,AV164)*ABS(AV165)/TINV(AV162,AV164)</f>
        <v>-0.25382663746520606</v>
      </c>
      <c r="AW166" s="191">
        <f>AW165-TINV((100-AW163)/100,AW164)*ABS(AW165)/TINV(AW162,AW164)</f>
        <v>-0.2078683085167774</v>
      </c>
      <c r="AX166" s="191">
        <f>AX165-TINV((100-AX163)/100,AX164)*ABS(AX165)/TINV(AX162,AX164)</f>
        <v>-0.01710340811596063</v>
      </c>
      <c r="AY166" s="191" t="e">
        <f>AY165-TINV((100-AY163)/100,AY164)*ABS(AY165)/TINV(AY162,AY164)</f>
        <v>#DIV/0!</v>
      </c>
      <c r="BB166" s="243" t="str">
        <f>CONCATENATE(TEXT($E$20,"0"),"% confidence
limits")</f>
        <v>90% confidence
limits</v>
      </c>
      <c r="BC166" s="26" t="s">
        <v>19</v>
      </c>
      <c r="BD166" s="194">
        <f>BD165-TINV((100-BD163)/100,BD164)*ABS(BD165)/TINV(BD162,BD164)</f>
        <v>-0.014793441312210803</v>
      </c>
      <c r="BG166" s="252" t="str">
        <f>CONCATENATE(TEXT($E$20,"0"),"% confidence
limits")</f>
        <v>90% confidence
limits</v>
      </c>
      <c r="BH166" s="26" t="s">
        <v>19</v>
      </c>
      <c r="BI166" s="194">
        <f>BI165-TINV((100-BI163)/100,BI164)*ABS(BI165)/TINV(BI162,BI164)</f>
        <v>-0.026989393268931135</v>
      </c>
      <c r="BJ166" s="194">
        <f>BJ165-TINV((100-BJ163)/100,BJ164)*ABS(BJ165)/TINV(BJ162,BJ164)</f>
        <v>-0.022104668929272604</v>
      </c>
      <c r="BK166" s="194">
        <f>BK165-TINV((100-BK163)/100,BK164)*ABS(BK165)/TINV(BK162,BK164)</f>
        <v>-0.001845893228044333</v>
      </c>
      <c r="BL166" s="186" t="e">
        <f>BL165-TINV((100-BL163)/100,BL164)*ABS(BL165)/TINV(BL162,BL164)</f>
        <v>#DIV/0!</v>
      </c>
    </row>
    <row r="167" spans="15:64" ht="24">
      <c r="O167" s="244"/>
      <c r="P167" s="15" t="s">
        <v>20</v>
      </c>
      <c r="Q167" s="187">
        <f>Q165+TINV((100-Q163)/100,Q164)*ABS(Q165)/TINV(Q162,Q164)</f>
        <v>11.248037146751367</v>
      </c>
      <c r="T167" s="244"/>
      <c r="U167" s="15" t="s">
        <v>20</v>
      </c>
      <c r="V167" s="187">
        <f>V165+TINV((100-V163)/100,V164)*ABS(V165)/TINV(V162,V164)</f>
        <v>-6.5873673823877485</v>
      </c>
      <c r="W167" s="187">
        <f>W165+TINV((100-W163)/100,W164)*ABS(W165)/TINV(W162,W164)</f>
        <v>-0.9250767534619895</v>
      </c>
      <c r="X167" s="187">
        <f>X165+TINV((100-X163)/100,X164)*ABS(X165)/TINV(X162,X164)</f>
        <v>10.285693988441857</v>
      </c>
      <c r="Y167" s="187" t="e">
        <f>Y165+TINV((100-Y163)/100,Y164)*ABS(Y165)/TINV(Y162,Y164)</f>
        <v>#DIV/0!</v>
      </c>
      <c r="AB167" s="244"/>
      <c r="AC167" s="15" t="s">
        <v>20</v>
      </c>
      <c r="AD167" s="187">
        <f>AD165+TINV((100-AD163)/100,AD164)*ABS(AD165)/TINV(AD162,AD164)</f>
        <v>21.545457358380464</v>
      </c>
      <c r="AG167" s="229"/>
      <c r="AH167" s="15" t="s">
        <v>20</v>
      </c>
      <c r="AI167" s="187">
        <f>AI165+TINV((100-AI163)/100,AI164)*ABS(AI165)/TINV(AI162,AI164)</f>
        <v>-7.262020106784518</v>
      </c>
      <c r="AJ167" s="187">
        <f>AJ165+TINV((100-AJ163)/100,AJ164)*ABS(AJ165)/TINV(AJ162,AJ164)</f>
        <v>-1.6989234624899634</v>
      </c>
      <c r="AK167" s="187">
        <f>AK165+TINV((100-AK163)/100,AK164)*ABS(AK165)/TINV(AK162,AK164)</f>
        <v>12.782629431543683</v>
      </c>
      <c r="AL167" s="187" t="e">
        <f>AL165+TINV((100-AL163)/100,AL164)*ABS(AL165)/TINV(AL162,AL164)</f>
        <v>#DIV/0!</v>
      </c>
      <c r="AO167" s="244"/>
      <c r="AP167" s="15" t="s">
        <v>20</v>
      </c>
      <c r="AQ167" s="187">
        <f>AQ165+TINV((100-AQ163)/100,AQ164)*ABS(AQ165)/TINV(AQ162,AQ164)</f>
        <v>0.1978557252116297</v>
      </c>
      <c r="AT167" s="229"/>
      <c r="AU167" s="15" t="s">
        <v>20</v>
      </c>
      <c r="AV167" s="192">
        <f>AV165+TINV((100-AV163)/100,AV164)*ABS(AV165)/TINV(AV162,AV164)</f>
        <v>-0.10884424773422793</v>
      </c>
      <c r="AW167" s="192">
        <f>AW165+TINV((100-AW163)/100,AW164)*ABS(AW165)/TINV(AW162,AW164)</f>
        <v>-0.013394827765137007</v>
      </c>
      <c r="AX167" s="192">
        <f>AX165+TINV((100-AX163)/100,AX164)*ABS(AX165)/TINV(AX162,AX164)</f>
        <v>0.17393533870298888</v>
      </c>
      <c r="AY167" s="192" t="e">
        <f>AY165+TINV((100-AY163)/100,AY164)*ABS(AY165)/TINV(AY162,AY164)</f>
        <v>#DIV/0!</v>
      </c>
      <c r="BB167" s="244"/>
      <c r="BC167" s="15" t="s">
        <v>20</v>
      </c>
      <c r="BD167" s="195">
        <f>BD165+TINV((100-BD163)/100,BD164)*ABS(BD165)/TINV(BD162,BD164)</f>
        <v>0.02115304147292138</v>
      </c>
      <c r="BG167" s="229"/>
      <c r="BH167" s="15" t="s">
        <v>20</v>
      </c>
      <c r="BI167" s="195">
        <f>BI165+TINV((100-BI163)/100,BI164)*ABS(BI165)/TINV(BI162,BI164)</f>
        <v>-0.011564347039381964</v>
      </c>
      <c r="BJ167" s="195">
        <f>BJ165+TINV((100-BJ163)/100,BJ164)*ABS(BJ165)/TINV(BJ162,BJ164)</f>
        <v>-0.0013811133625376108</v>
      </c>
      <c r="BK167" s="195">
        <f>BK165+TINV((100-BK163)/100,BK164)*ABS(BK165)/TINV(BK162,BK164)</f>
        <v>0.01856040326959226</v>
      </c>
      <c r="BL167" s="187" t="e">
        <f>BL165+TINV((100-BL163)/100,BL164)*ABS(BL165)/TINV(BL162,BL164)</f>
        <v>#DIV/0!</v>
      </c>
    </row>
    <row r="168" spans="15:64" ht="14.25">
      <c r="O168" s="245"/>
      <c r="P168" s="16" t="s">
        <v>21</v>
      </c>
      <c r="Q168" s="202">
        <f>(Q167-Q166)/2</f>
        <v>9.92362191449329</v>
      </c>
      <c r="T168" s="245"/>
      <c r="U168" s="16" t="s">
        <v>21</v>
      </c>
      <c r="V168" s="202">
        <f>(V167-V166)/2</f>
        <v>4.339737998036037</v>
      </c>
      <c r="W168" s="202">
        <f>(W167-W166)/2</f>
        <v>5.7294709171137725</v>
      </c>
      <c r="X168" s="202">
        <f>(X167-X166)/2</f>
        <v>5.5717353692858325</v>
      </c>
      <c r="Y168" s="202" t="e">
        <f>(Y167-Y166)/2</f>
        <v>#DIV/0!</v>
      </c>
      <c r="AB168" s="245"/>
      <c r="AC168" s="31" t="s">
        <v>21</v>
      </c>
      <c r="AD168" s="202">
        <f>(AD167-AD166)/2</f>
        <v>15.705121223926671</v>
      </c>
      <c r="AG168" s="230"/>
      <c r="AH168" s="16" t="s">
        <v>21</v>
      </c>
      <c r="AI168" s="202">
        <f>(AI167-AI166)/2</f>
        <v>7.1497445990978346</v>
      </c>
      <c r="AJ168" s="202">
        <f>(AJ167-AJ166)/2</f>
        <v>9.758396307523306</v>
      </c>
      <c r="AK168" s="202">
        <f>(AK167-AK166)/2</f>
        <v>8.850740886652043</v>
      </c>
      <c r="AL168" s="202" t="e">
        <f>(AL167-AL166)/2</f>
        <v>#DIV/0!</v>
      </c>
      <c r="AO168" s="245"/>
      <c r="AP168" s="16" t="s">
        <v>21</v>
      </c>
      <c r="AQ168" s="202">
        <f>(AQ167-AQ166)/2</f>
        <v>0.1687272882150534</v>
      </c>
      <c r="AT168" s="230"/>
      <c r="AU168" s="16" t="s">
        <v>21</v>
      </c>
      <c r="AV168" s="56">
        <f>(AV167-AV166)/2</f>
        <v>0.07249119486548906</v>
      </c>
      <c r="AW168" s="56">
        <f>(AW167-AW166)/2</f>
        <v>0.0972367403758202</v>
      </c>
      <c r="AX168" s="56">
        <f>(AX167-AX166)/2</f>
        <v>0.09551937340947475</v>
      </c>
      <c r="AY168" s="56" t="e">
        <f>(AY167-AY166)/2</f>
        <v>#DIV/0!</v>
      </c>
      <c r="BB168" s="245"/>
      <c r="BC168" s="16" t="s">
        <v>21</v>
      </c>
      <c r="BD168" s="215">
        <f>(BD167-BD166)/2</f>
        <v>0.01797324139256609</v>
      </c>
      <c r="BG168" s="230"/>
      <c r="BH168" s="16" t="s">
        <v>21</v>
      </c>
      <c r="BI168" s="215">
        <f>(BI167-BI166)/2</f>
        <v>0.0077125231147745854</v>
      </c>
      <c r="BJ168" s="215">
        <f>(BJ167-BJ166)/2</f>
        <v>0.010361777783367497</v>
      </c>
      <c r="BK168" s="215">
        <f>(BK167-BK166)/2</f>
        <v>0.010203148248818298</v>
      </c>
      <c r="BL168" s="202" t="e">
        <f>(BL167-BL166)/2</f>
        <v>#DIV/0!</v>
      </c>
    </row>
    <row r="169" spans="15:64" ht="12.75" customHeight="1">
      <c r="O169" s="263" t="s">
        <v>98</v>
      </c>
      <c r="P169" s="18" t="s">
        <v>24</v>
      </c>
      <c r="Q169" s="54">
        <f>V169</f>
        <v>9.531017980432493</v>
      </c>
      <c r="T169" s="231" t="s">
        <v>22</v>
      </c>
      <c r="U169" s="18" t="s">
        <v>24</v>
      </c>
      <c r="V169" s="54">
        <f>100*LN((V103+100)/100)</f>
        <v>9.531017980432493</v>
      </c>
      <c r="W169" s="55">
        <f>V169</f>
        <v>9.531017980432493</v>
      </c>
      <c r="X169" s="55">
        <f>W169</f>
        <v>9.531017980432493</v>
      </c>
      <c r="Y169" s="55">
        <f>X169</f>
        <v>9.531017980432493</v>
      </c>
      <c r="AB169" s="263" t="s">
        <v>98</v>
      </c>
      <c r="AC169" s="18" t="s">
        <v>24</v>
      </c>
      <c r="AD169" s="54" t="str">
        <f>AI169</f>
        <v>???</v>
      </c>
      <c r="AG169" s="231" t="s">
        <v>22</v>
      </c>
      <c r="AH169" s="97" t="s">
        <v>24</v>
      </c>
      <c r="AI169" s="209" t="s">
        <v>27</v>
      </c>
      <c r="AJ169" s="55" t="str">
        <f>AI169</f>
        <v>???</v>
      </c>
      <c r="AK169" s="55" t="str">
        <f>AJ169</f>
        <v>???</v>
      </c>
      <c r="AL169" s="55" t="str">
        <f>AK169</f>
        <v>???</v>
      </c>
      <c r="AO169" s="263" t="s">
        <v>98</v>
      </c>
      <c r="AP169" s="18" t="s">
        <v>24</v>
      </c>
      <c r="AQ169" s="54" t="str">
        <f>AV169</f>
        <v>???</v>
      </c>
      <c r="AT169" s="231" t="s">
        <v>22</v>
      </c>
      <c r="AU169" s="97" t="s">
        <v>24</v>
      </c>
      <c r="AV169" s="209" t="s">
        <v>27</v>
      </c>
      <c r="AW169" s="55" t="str">
        <f>AV169</f>
        <v>???</v>
      </c>
      <c r="AX169" s="55" t="str">
        <f>AW169</f>
        <v>???</v>
      </c>
      <c r="AY169" s="55" t="str">
        <f>AX169</f>
        <v>???</v>
      </c>
      <c r="BB169" s="263" t="s">
        <v>98</v>
      </c>
      <c r="BC169" s="18" t="s">
        <v>24</v>
      </c>
      <c r="BD169" s="54" t="str">
        <f>BI169</f>
        <v>???</v>
      </c>
      <c r="BG169" s="231" t="s">
        <v>22</v>
      </c>
      <c r="BH169" s="97" t="s">
        <v>24</v>
      </c>
      <c r="BI169" s="209" t="s">
        <v>27</v>
      </c>
      <c r="BJ169" s="55" t="str">
        <f>BI169</f>
        <v>???</v>
      </c>
      <c r="BK169" s="55" t="str">
        <f>BJ169</f>
        <v>???</v>
      </c>
      <c r="BL169" s="55" t="str">
        <f>BK169</f>
        <v>???</v>
      </c>
    </row>
    <row r="170" spans="15:64" ht="12.75">
      <c r="O170" s="264"/>
      <c r="P170" s="17" t="s">
        <v>25</v>
      </c>
      <c r="Q170" s="56">
        <f>-Q169</f>
        <v>-9.531017980432493</v>
      </c>
      <c r="T170" s="232"/>
      <c r="U170" s="17" t="s">
        <v>25</v>
      </c>
      <c r="V170" s="56">
        <f>-V169</f>
        <v>-9.531017980432493</v>
      </c>
      <c r="W170" s="57">
        <f>-W169</f>
        <v>-9.531017980432493</v>
      </c>
      <c r="X170" s="57">
        <f>-X169</f>
        <v>-9.531017980432493</v>
      </c>
      <c r="Y170" s="57">
        <f>-Y169</f>
        <v>-9.531017980432493</v>
      </c>
      <c r="AB170" s="264"/>
      <c r="AC170" s="17" t="s">
        <v>25</v>
      </c>
      <c r="AD170" s="56" t="e">
        <f>-AD169</f>
        <v>#VALUE!</v>
      </c>
      <c r="AG170" s="232"/>
      <c r="AH170" s="98" t="s">
        <v>25</v>
      </c>
      <c r="AI170" s="210" t="e">
        <f>-AI169</f>
        <v>#VALUE!</v>
      </c>
      <c r="AJ170" s="57" t="e">
        <f>-AJ169</f>
        <v>#VALUE!</v>
      </c>
      <c r="AK170" s="57" t="e">
        <f>-AK169</f>
        <v>#VALUE!</v>
      </c>
      <c r="AL170" s="57" t="e">
        <f>-AL169</f>
        <v>#VALUE!</v>
      </c>
      <c r="AO170" s="264"/>
      <c r="AP170" s="17" t="s">
        <v>25</v>
      </c>
      <c r="AQ170" s="56" t="e">
        <f>-AQ169</f>
        <v>#VALUE!</v>
      </c>
      <c r="AT170" s="232"/>
      <c r="AU170" s="98" t="s">
        <v>25</v>
      </c>
      <c r="AV170" s="210" t="e">
        <f>-AV169</f>
        <v>#VALUE!</v>
      </c>
      <c r="AW170" s="57" t="e">
        <f>-AW169</f>
        <v>#VALUE!</v>
      </c>
      <c r="AX170" s="57" t="e">
        <f>-AX169</f>
        <v>#VALUE!</v>
      </c>
      <c r="AY170" s="57" t="e">
        <f>-AY169</f>
        <v>#VALUE!</v>
      </c>
      <c r="BB170" s="264"/>
      <c r="BC170" s="17" t="s">
        <v>25</v>
      </c>
      <c r="BD170" s="56" t="e">
        <f>-BD169</f>
        <v>#VALUE!</v>
      </c>
      <c r="BG170" s="232"/>
      <c r="BH170" s="98" t="s">
        <v>25</v>
      </c>
      <c r="BI170" s="210" t="e">
        <f>-BI169</f>
        <v>#VALUE!</v>
      </c>
      <c r="BJ170" s="57" t="e">
        <f>-BJ169</f>
        <v>#VALUE!</v>
      </c>
      <c r="BK170" s="57" t="e">
        <f>-BK169</f>
        <v>#VALUE!</v>
      </c>
      <c r="BL170" s="57" t="e">
        <f>-BL169</f>
        <v>#VALUE!</v>
      </c>
    </row>
    <row r="171" spans="15:64" ht="12.75">
      <c r="O171" s="233" t="s">
        <v>26</v>
      </c>
      <c r="P171" s="236" t="s">
        <v>24</v>
      </c>
      <c r="Q171" s="203">
        <f>IF(ISERROR(TDIST((Q169-Q165)/ABS(Q165)*TINV(Q162,Q164),Q164,1)),1-TDIST((Q165-Q169)/ABS(Q165)*TINV(Q162,Q164),Q164,1),TDIST((Q169-Q165)/ABS(Q165)*TINV(Q162,Q164),Q164,1))*100</f>
        <v>8.5605085285482</v>
      </c>
      <c r="T171" s="233" t="s">
        <v>26</v>
      </c>
      <c r="U171" s="236" t="s">
        <v>24</v>
      </c>
      <c r="V171" s="203">
        <f>IF(ISERROR(TDIST((V169-V165)/ABS(V165)*TINV(V162,V164),V164,1)),1-TDIST((V165-V169)/ABS(V165)*TINV(V162,V164),V164,1),TDIST((V169-V165)/ABS(V165)*TINV(V162,V164),V164,1))*100</f>
        <v>3.907014214164397E-07</v>
      </c>
      <c r="W171" s="203">
        <f>IF(ISERROR(TDIST((W169-W165)/ABS(W165)*TINV(W162,W164),W164,1)),1-TDIST((W165-W169)/ABS(W165)*TINV(W162,W164),W164,1),TDIST((W169-W165)/ABS(W165)*TINV(W162,W164),W164,1))*100</f>
        <v>0.0018532716948423972</v>
      </c>
      <c r="X171" s="203">
        <f>IF(ISERROR(TDIST((X169-X165)/ABS(X165)*TINV(X162,X164),X164,1)),1-TDIST((X165-X169)/ABS(X165)*TINV(X162,X164),X164,1),TDIST((X169-X165)/ABS(X165)*TINV(X162,X164),X164,1))*100</f>
        <v>7.647634691894256</v>
      </c>
      <c r="Y171" s="203" t="e">
        <f>IF(ISERROR(TDIST((Y169-Y165)/ABS(Y165)*TINV(Y162,Y164),Y164,1)),1-TDIST((Y165-Y169)/ABS(Y165)*TINV(Y162,Y164),Y164,1),TDIST((Y169-Y165)/ABS(Y165)*TINV(Y162,Y164),Y164,1))*100</f>
        <v>#DIV/0!</v>
      </c>
      <c r="AB171" s="233" t="s">
        <v>26</v>
      </c>
      <c r="AC171" s="236" t="s">
        <v>24</v>
      </c>
      <c r="AD171" s="203" t="e">
        <f>IF(ISERROR(TDIST((AD169-AD165)/ABS(AD165)*TINV(AD162,AD164),AD164,1)),1-TDIST((AD165-AD169)/ABS(AD165)*TINV(AD162,AD164),AD164,1),TDIST((AD169-AD165)/ABS(AD165)*TINV(AD162,AD164),AD164,1))*100</f>
        <v>#VALUE!</v>
      </c>
      <c r="AG171" s="233" t="s">
        <v>26</v>
      </c>
      <c r="AH171" s="236" t="s">
        <v>24</v>
      </c>
      <c r="AI171" s="203" t="e">
        <f>IF(ISERROR(TDIST((AI169-AI165)/ABS(AI165)*TINV(AI162,AI164),AI164,1)),1-TDIST((AI165-AI169)/ABS(AI165)*TINV(AI162,AI164),AI164,1),TDIST((AI169-AI165)/ABS(AI165)*TINV(AI162,AI164),AI164,1))*100</f>
        <v>#VALUE!</v>
      </c>
      <c r="AJ171" s="203" t="e">
        <f>IF(ISERROR(TDIST((AJ169-AJ165)/ABS(AJ165)*TINV(AJ162,AJ164),AJ164,1)),1-TDIST((AJ165-AJ169)/ABS(AJ165)*TINV(AJ162,AJ164),AJ164,1),TDIST((AJ169-AJ165)/ABS(AJ165)*TINV(AJ162,AJ164),AJ164,1))*100</f>
        <v>#VALUE!</v>
      </c>
      <c r="AK171" s="203" t="e">
        <f>IF(ISERROR(TDIST((AK169-AK165)/ABS(AK165)*TINV(AK162,AK164),AK164,1)),1-TDIST((AK165-AK169)/ABS(AK165)*TINV(AK162,AK164),AK164,1),TDIST((AK169-AK165)/ABS(AK165)*TINV(AK162,AK164),AK164,1))*100</f>
        <v>#VALUE!</v>
      </c>
      <c r="AL171" s="203" t="e">
        <f>IF(ISERROR(TDIST((AL169-AL165)/ABS(AL165)*TINV(AL162,AL164),AL164,1)),1-TDIST((AL165-AL169)/ABS(AL165)*TINV(AL162,AL164),AL164,1),TDIST((AL169-AL165)/ABS(AL165)*TINV(AL162,AL164),AL164,1))*100</f>
        <v>#DIV/0!</v>
      </c>
      <c r="AO171" s="233" t="s">
        <v>26</v>
      </c>
      <c r="AP171" s="236" t="s">
        <v>24</v>
      </c>
      <c r="AQ171" s="203" t="e">
        <f>IF(ISERROR(TDIST((AQ169-AQ165)/ABS(AQ165)*TINV(AQ162,AQ164),AQ164,1)),1-TDIST((AQ165-AQ169)/ABS(AQ165)*TINV(AQ162,AQ164),AQ164,1),TDIST((AQ169-AQ165)/ABS(AQ165)*TINV(AQ162,AQ164),AQ164,1))*100</f>
        <v>#VALUE!</v>
      </c>
      <c r="AT171" s="233" t="s">
        <v>26</v>
      </c>
      <c r="AU171" s="236" t="s">
        <v>24</v>
      </c>
      <c r="AV171" s="203" t="e">
        <f>IF(ISERROR(TDIST((AV169-AV165)/ABS(AV165)*TINV(AV162,AV164),AV164,1)),1-TDIST((AV165-AV169)/ABS(AV165)*TINV(AV162,AV164),AV164,1),TDIST((AV169-AV165)/ABS(AV165)*TINV(AV162,AV164),AV164,1))*100</f>
        <v>#VALUE!</v>
      </c>
      <c r="AW171" s="203" t="e">
        <f>IF(ISERROR(TDIST((AW169-AW165)/ABS(AW165)*TINV(AW162,AW164),AW164,1)),1-TDIST((AW165-AW169)/ABS(AW165)*TINV(AW162,AW164),AW164,1),TDIST((AW169-AW165)/ABS(AW165)*TINV(AW162,AW164),AW164,1))*100</f>
        <v>#VALUE!</v>
      </c>
      <c r="AX171" s="203" t="e">
        <f>IF(ISERROR(TDIST((AX169-AX165)/ABS(AX165)*TINV(AX162,AX164),AX164,1)),1-TDIST((AX165-AX169)/ABS(AX165)*TINV(AX162,AX164),AX164,1),TDIST((AX169-AX165)/ABS(AX165)*TINV(AX162,AX164),AX164,1))*100</f>
        <v>#VALUE!</v>
      </c>
      <c r="AY171" s="203" t="e">
        <f>IF(ISERROR(TDIST((AY169-AY165)/ABS(AY165)*TINV(AY162,AY164),AY164,1)),1-TDIST((AY165-AY169)/ABS(AY165)*TINV(AY162,AY164),AY164,1),TDIST((AY169-AY165)/ABS(AY165)*TINV(AY162,AY164),AY164,1))*100</f>
        <v>#DIV/0!</v>
      </c>
      <c r="BB171" s="233" t="s">
        <v>26</v>
      </c>
      <c r="BC171" s="236" t="s">
        <v>24</v>
      </c>
      <c r="BD171" s="203" t="e">
        <f>IF(ISERROR(TDIST((BD169-BD165)/ABS(BD165)*TINV(BD162,BD164),BD164,1)),1-TDIST((BD165-BD169)/ABS(BD165)*TINV(BD162,BD164),BD164,1),TDIST((BD169-BD165)/ABS(BD165)*TINV(BD162,BD164),BD164,1))*100</f>
        <v>#VALUE!</v>
      </c>
      <c r="BG171" s="233" t="s">
        <v>26</v>
      </c>
      <c r="BH171" s="236" t="s">
        <v>24</v>
      </c>
      <c r="BI171" s="203" t="e">
        <f>IF(ISERROR(TDIST((BI169-BI165)/ABS(BI165)*TINV(BI162,BI164),BI164,1)),1-TDIST((BI165-BI169)/ABS(BI165)*TINV(BI162,BI164),BI164,1),TDIST((BI169-BI165)/ABS(BI165)*TINV(BI162,BI164),BI164,1))*100</f>
        <v>#VALUE!</v>
      </c>
      <c r="BJ171" s="203" t="e">
        <f>IF(ISERROR(TDIST((BJ169-BJ165)/ABS(BJ165)*TINV(BJ162,BJ164),BJ164,1)),1-TDIST((BJ165-BJ169)/ABS(BJ165)*TINV(BJ162,BJ164),BJ164,1),TDIST((BJ169-BJ165)/ABS(BJ165)*TINV(BJ162,BJ164),BJ164,1))*100</f>
        <v>#VALUE!</v>
      </c>
      <c r="BK171" s="203" t="e">
        <f>IF(ISERROR(TDIST((BK169-BK165)/ABS(BK165)*TINV(BK162,BK164),BK164,1)),1-TDIST((BK165-BK169)/ABS(BK165)*TINV(BK162,BK164),BK164,1),TDIST((BK169-BK165)/ABS(BK165)*TINV(BK162,BK164),BK164,1))*100</f>
        <v>#VALUE!</v>
      </c>
      <c r="BL171" s="203" t="e">
        <f>IF(ISERROR(TDIST((BL169-BL165)/ABS(BL165)*TINV(BL162,BL164),BL164,1)),1-TDIST((BL165-BL169)/ABS(BL165)*TINV(BL162,BL164),BL164,1),TDIST((BL169-BL165)/ABS(BL165)*TINV(BL162,BL164),BL164,1))*100</f>
        <v>#DIV/0!</v>
      </c>
    </row>
    <row r="172" spans="15:64" ht="29.25">
      <c r="O172" s="234"/>
      <c r="P172" s="237"/>
      <c r="Q172" s="204" t="str">
        <f>IF(Q171&lt;1,"almost certainly not",IF(Q171&lt;5,"very unlikely",IF(Q171&lt;25,"unlikely, probably not",IF(Q171&lt;75,"possibly, may (not)",IF(Q171&lt;95,"likely, probable",IF(Q171&lt;99,"very likely","almost certainly"))))))</f>
        <v>unlikely, probably not</v>
      </c>
      <c r="T172" s="234"/>
      <c r="U172" s="237"/>
      <c r="V172" s="204" t="str">
        <f>IF(V171&lt;1,"almost certainly not",IF(V171&lt;5,"very unlikely",IF(V171&lt;25,"unlikely, probably not",IF(V171&lt;75,"possibly, may (not)",IF(V171&lt;95,"likely, probable",IF(V171&lt;99,"very likely","almost certainly"))))))</f>
        <v>almost certainly not</v>
      </c>
      <c r="W172" s="204" t="str">
        <f>IF(W171&lt;1,"almost certainly not",IF(W171&lt;5,"very unlikely",IF(W171&lt;25,"unlikely, probably not",IF(W171&lt;75,"possibly, may (not)",IF(W171&lt;95,"likely, probable",IF(W171&lt;99,"very likely","almost certainly"))))))</f>
        <v>almost certainly not</v>
      </c>
      <c r="X172" s="204" t="str">
        <f>IF(X171&lt;1,"almost certainly not",IF(X171&lt;5,"very unlikely",IF(X171&lt;25,"unlikely, probably not",IF(X171&lt;75,"possibly, may (not)",IF(X171&lt;95,"likely, probable",IF(X171&lt;99,"very likely","almost certainly"))))))</f>
        <v>unlikely, probably not</v>
      </c>
      <c r="Y172" s="204" t="e">
        <f>IF(Y171&lt;1,"almost certainly not",IF(Y171&lt;5,"very unlikely",IF(Y171&lt;25,"unlikely, probably not",IF(Y171&lt;75,"possibly, may (not)",IF(Y171&lt;95,"likely, probable",IF(Y171&lt;99,"very likely","almost certainly"))))))</f>
        <v>#DIV/0!</v>
      </c>
      <c r="AB172" s="234"/>
      <c r="AC172" s="237"/>
      <c r="AD172" s="204" t="e">
        <f>IF(AD171&lt;1,"almost certainly not",IF(AD171&lt;5,"very unlikely",IF(AD171&lt;25,"unlikely, probably not",IF(AD171&lt;75,"possibly, may (not)",IF(AD171&lt;95,"likely, probable",IF(AD171&lt;99,"very likely","almost certainly"))))))</f>
        <v>#VALUE!</v>
      </c>
      <c r="AG172" s="234"/>
      <c r="AH172" s="237"/>
      <c r="AI172" s="204" t="e">
        <f>IF(AI171&lt;1,"almost certainly not",IF(AI171&lt;5,"very unlikely",IF(AI171&lt;25,"unlikely, probably not",IF(AI171&lt;75,"possibly, may (not)",IF(AI171&lt;95,"likely, probable",IF(AI171&lt;99,"very likely","almost certainly"))))))</f>
        <v>#VALUE!</v>
      </c>
      <c r="AJ172" s="204" t="e">
        <f>IF(AJ171&lt;1,"almost certainly not",IF(AJ171&lt;5,"very unlikely",IF(AJ171&lt;25,"unlikely, probably not",IF(AJ171&lt;75,"possibly, may (not)",IF(AJ171&lt;95,"likely, probable",IF(AJ171&lt;99,"very likely","almost certainly"))))))</f>
        <v>#VALUE!</v>
      </c>
      <c r="AK172" s="204" t="e">
        <f>IF(AK171&lt;1,"almost certainly not",IF(AK171&lt;5,"very unlikely",IF(AK171&lt;25,"unlikely, probably not",IF(AK171&lt;75,"possibly, may (not)",IF(AK171&lt;95,"likely, probable",IF(AK171&lt;99,"very likely","almost certainly"))))))</f>
        <v>#VALUE!</v>
      </c>
      <c r="AL172" s="204" t="e">
        <f>IF(AL171&lt;1,"almost certainly not",IF(AL171&lt;5,"very unlikely",IF(AL171&lt;25,"unlikely, probably not",IF(AL171&lt;75,"possibly, may (not)",IF(AL171&lt;95,"likely, probable",IF(AL171&lt;99,"very likely","almost certainly"))))))</f>
        <v>#DIV/0!</v>
      </c>
      <c r="AO172" s="234"/>
      <c r="AP172" s="237"/>
      <c r="AQ172" s="204" t="e">
        <f>IF(AQ171&lt;1,"almost certainly not",IF(AQ171&lt;5,"very unlikely",IF(AQ171&lt;25,"unlikely, probably not",IF(AQ171&lt;75,"possibly, may (not)",IF(AQ171&lt;95,"likely, probable",IF(AQ171&lt;99,"very likely","almost certainly"))))))</f>
        <v>#VALUE!</v>
      </c>
      <c r="AT172" s="234"/>
      <c r="AU172" s="237"/>
      <c r="AV172" s="204" t="e">
        <f>IF(AV171&lt;1,"almost certainly not",IF(AV171&lt;5,"very unlikely",IF(AV171&lt;25,"unlikely, probably not",IF(AV171&lt;75,"possibly, may (not)",IF(AV171&lt;95,"likely, probable",IF(AV171&lt;99,"very likely","almost certainly"))))))</f>
        <v>#VALUE!</v>
      </c>
      <c r="AW172" s="204" t="e">
        <f>IF(AW171&lt;1,"almost certainly not",IF(AW171&lt;5,"very unlikely",IF(AW171&lt;25,"unlikely, probably not",IF(AW171&lt;75,"possibly, may (not)",IF(AW171&lt;95,"likely, probable",IF(AW171&lt;99,"very likely","almost certainly"))))))</f>
        <v>#VALUE!</v>
      </c>
      <c r="AX172" s="204" t="e">
        <f>IF(AX171&lt;1,"almost certainly not",IF(AX171&lt;5,"very unlikely",IF(AX171&lt;25,"unlikely, probably not",IF(AX171&lt;75,"possibly, may (not)",IF(AX171&lt;95,"likely, probable",IF(AX171&lt;99,"very likely","almost certainly"))))))</f>
        <v>#VALUE!</v>
      </c>
      <c r="AY172" s="204" t="e">
        <f>IF(AY171&lt;1,"almost certainly not",IF(AY171&lt;5,"very unlikely",IF(AY171&lt;25,"unlikely, probably not",IF(AY171&lt;75,"possibly, may (not)",IF(AY171&lt;95,"likely, probable",IF(AY171&lt;99,"very likely","almost certainly"))))))</f>
        <v>#DIV/0!</v>
      </c>
      <c r="BB172" s="234"/>
      <c r="BC172" s="237"/>
      <c r="BD172" s="204" t="e">
        <f>IF(BD171&lt;1,"almost certainly not",IF(BD171&lt;5,"very unlikely",IF(BD171&lt;25,"unlikely, probably not",IF(BD171&lt;75,"possibly, may (not)",IF(BD171&lt;95,"likely, probable",IF(BD171&lt;99,"very likely","almost certainly"))))))</f>
        <v>#VALUE!</v>
      </c>
      <c r="BG172" s="234"/>
      <c r="BH172" s="237"/>
      <c r="BI172" s="204" t="e">
        <f>IF(BI171&lt;1,"almost certainly not",IF(BI171&lt;5,"very unlikely",IF(BI171&lt;25,"unlikely, probably not",IF(BI171&lt;75,"possibly, may (not)",IF(BI171&lt;95,"likely, probable",IF(BI171&lt;99,"very likely","almost certainly"))))))</f>
        <v>#VALUE!</v>
      </c>
      <c r="BJ172" s="204" t="e">
        <f>IF(BJ171&lt;1,"almost certainly not",IF(BJ171&lt;5,"very unlikely",IF(BJ171&lt;25,"unlikely, probably not",IF(BJ171&lt;75,"possibly, may (not)",IF(BJ171&lt;95,"likely, probable",IF(BJ171&lt;99,"very likely","almost certainly"))))))</f>
        <v>#VALUE!</v>
      </c>
      <c r="BK172" s="204" t="e">
        <f>IF(BK171&lt;1,"almost certainly not",IF(BK171&lt;5,"very unlikely",IF(BK171&lt;25,"unlikely, probably not",IF(BK171&lt;75,"possibly, may (not)",IF(BK171&lt;95,"likely, probable",IF(BK171&lt;99,"very likely","almost certainly"))))))</f>
        <v>#VALUE!</v>
      </c>
      <c r="BL172" s="204" t="e">
        <f>IF(BL171&lt;1,"almost certainly not",IF(BL171&lt;5,"very unlikely",IF(BL171&lt;25,"unlikely, probably not",IF(BL171&lt;75,"possibly, may (not)",IF(BL171&lt;95,"likely, probable",IF(BL171&lt;99,"very likely","almost certainly"))))))</f>
        <v>#DIV/0!</v>
      </c>
    </row>
    <row r="173" spans="15:64" ht="12.75">
      <c r="O173" s="234"/>
      <c r="P173" s="238" t="s">
        <v>23</v>
      </c>
      <c r="Q173" s="203">
        <f>100-Q171-Q175</f>
        <v>87.78922353229945</v>
      </c>
      <c r="T173" s="234"/>
      <c r="U173" s="238" t="s">
        <v>23</v>
      </c>
      <c r="V173" s="203">
        <f>100-V171-V175</f>
        <v>29.44151828792019</v>
      </c>
      <c r="W173" s="203">
        <f>100-W171-W175</f>
        <v>79.92746066067484</v>
      </c>
      <c r="X173" s="203">
        <f>100-X171-X175</f>
        <v>92.34601018699436</v>
      </c>
      <c r="Y173" s="203" t="e">
        <f>100-Y171-Y175</f>
        <v>#DIV/0!</v>
      </c>
      <c r="AB173" s="234"/>
      <c r="AC173" s="238" t="s">
        <v>23</v>
      </c>
      <c r="AD173" s="203" t="e">
        <f>100-AD171-AD175</f>
        <v>#VALUE!</v>
      </c>
      <c r="AG173" s="234"/>
      <c r="AH173" s="238" t="s">
        <v>23</v>
      </c>
      <c r="AI173" s="203" t="e">
        <f>100-AI171-AI175</f>
        <v>#VALUE!</v>
      </c>
      <c r="AJ173" s="203" t="e">
        <f>100-AJ171-AJ175</f>
        <v>#VALUE!</v>
      </c>
      <c r="AK173" s="203" t="e">
        <f>100-AK171-AK175</f>
        <v>#VALUE!</v>
      </c>
      <c r="AL173" s="203" t="e">
        <f>100-AL171-AL175</f>
        <v>#DIV/0!</v>
      </c>
      <c r="AO173" s="234"/>
      <c r="AP173" s="238" t="s">
        <v>23</v>
      </c>
      <c r="AQ173" s="203" t="e">
        <f>100-AQ171-AQ175</f>
        <v>#VALUE!</v>
      </c>
      <c r="AT173" s="234"/>
      <c r="AU173" s="267" t="s">
        <v>23</v>
      </c>
      <c r="AV173" s="203" t="e">
        <f>100-AV171-AV175</f>
        <v>#VALUE!</v>
      </c>
      <c r="AW173" s="203" t="e">
        <f>100-AW171-AW175</f>
        <v>#VALUE!</v>
      </c>
      <c r="AX173" s="203" t="e">
        <f>100-AX171-AX175</f>
        <v>#VALUE!</v>
      </c>
      <c r="AY173" s="203" t="e">
        <f>100-AY171-AY175</f>
        <v>#DIV/0!</v>
      </c>
      <c r="BB173" s="234"/>
      <c r="BC173" s="238" t="s">
        <v>23</v>
      </c>
      <c r="BD173" s="203" t="e">
        <f>100-BD171-BD175</f>
        <v>#VALUE!</v>
      </c>
      <c r="BG173" s="234"/>
      <c r="BH173" s="267" t="s">
        <v>23</v>
      </c>
      <c r="BI173" s="203" t="e">
        <f>100-BI171-BI175</f>
        <v>#VALUE!</v>
      </c>
      <c r="BJ173" s="203" t="e">
        <f>100-BJ171-BJ175</f>
        <v>#VALUE!</v>
      </c>
      <c r="BK173" s="203" t="e">
        <f>100-BK171-BK175</f>
        <v>#VALUE!</v>
      </c>
      <c r="BL173" s="203" t="e">
        <f>100-BL171-BL175</f>
        <v>#DIV/0!</v>
      </c>
    </row>
    <row r="174" spans="15:64" ht="30" customHeight="1">
      <c r="O174" s="234"/>
      <c r="P174" s="239"/>
      <c r="Q174" s="204" t="str">
        <f>IF(Q173&lt;1,"almost certainly not",IF(Q173&lt;5,"very unlikely",IF(Q173&lt;25,"unlikely, probably not",IF(Q173&lt;75,"possibly, may (not)",IF(Q173&lt;95,"likely, probable",IF(Q173&lt;99,"very likely","almost certainly"))))))</f>
        <v>likely, probable</v>
      </c>
      <c r="T174" s="234"/>
      <c r="U174" s="239"/>
      <c r="V174" s="204" t="str">
        <f>IF(V173&lt;1,"almost certainly not",IF(V173&lt;5,"very unlikely",IF(V173&lt;25,"unlikely, probably not",IF(V173&lt;75,"possibly, may (not)",IF(V173&lt;95,"likely, probable",IF(V173&lt;99,"very likely","almost certainly"))))))</f>
        <v>possibly, may (not)</v>
      </c>
      <c r="W174" s="204" t="str">
        <f>IF(W173&lt;1,"almost certainly not",IF(W173&lt;5,"very unlikely",IF(W173&lt;25,"unlikely, probably not",IF(W173&lt;75,"possibly, may (not)",IF(W173&lt;95,"likely, probable",IF(W173&lt;99,"very likely","almost certainly"))))))</f>
        <v>likely, probable</v>
      </c>
      <c r="X174" s="204" t="str">
        <f>IF(X173&lt;1,"almost certainly not",IF(X173&lt;5,"very unlikely",IF(X173&lt;25,"unlikely, probably not",IF(X173&lt;75,"possibly, may (not)",IF(X173&lt;95,"likely, probable",IF(X173&lt;99,"very likely","almost certainly"))))))</f>
        <v>likely, probable</v>
      </c>
      <c r="Y174" s="204" t="e">
        <f>IF(Y173&lt;1,"almost certainly not",IF(Y173&lt;5,"very unlikely",IF(Y173&lt;25,"unlikely, probably not",IF(Y173&lt;75,"possibly, may (not)",IF(Y173&lt;95,"likely, probable",IF(Y173&lt;99,"very likely","almost certainly"))))))</f>
        <v>#DIV/0!</v>
      </c>
      <c r="AB174" s="234"/>
      <c r="AC174" s="239"/>
      <c r="AD174" s="204" t="e">
        <f>IF(AD173&lt;1,"almost certainly not",IF(AD173&lt;5,"very unlikely",IF(AD173&lt;25,"unlikely, probably not",IF(AD173&lt;75,"possibly, may (not)",IF(AD173&lt;95,"likely, probable",IF(AD173&lt;99,"very likely","almost certainly"))))))</f>
        <v>#VALUE!</v>
      </c>
      <c r="AG174" s="234"/>
      <c r="AH174" s="239"/>
      <c r="AI174" s="204" t="e">
        <f>IF(AI173&lt;1,"almost certainly not",IF(AI173&lt;5,"very unlikely",IF(AI173&lt;25,"unlikely, probably not",IF(AI173&lt;75,"possibly, may (not)",IF(AI173&lt;95,"likely, probable",IF(AI173&lt;99,"very likely","almost certainly"))))))</f>
        <v>#VALUE!</v>
      </c>
      <c r="AJ174" s="204" t="e">
        <f>IF(AJ173&lt;1,"almost certainly not",IF(AJ173&lt;5,"very unlikely",IF(AJ173&lt;25,"unlikely, probably not",IF(AJ173&lt;75,"possibly, may (not)",IF(AJ173&lt;95,"likely, probable",IF(AJ173&lt;99,"very likely","almost certainly"))))))</f>
        <v>#VALUE!</v>
      </c>
      <c r="AK174" s="204" t="e">
        <f>IF(AK173&lt;1,"almost certainly not",IF(AK173&lt;5,"very unlikely",IF(AK173&lt;25,"unlikely, probably not",IF(AK173&lt;75,"possibly, may (not)",IF(AK173&lt;95,"likely, probable",IF(AK173&lt;99,"very likely","almost certainly"))))))</f>
        <v>#VALUE!</v>
      </c>
      <c r="AL174" s="204" t="e">
        <f>IF(AL173&lt;1,"almost certainly not",IF(AL173&lt;5,"very unlikely",IF(AL173&lt;25,"unlikely, probably not",IF(AL173&lt;75,"possibly, may (not)",IF(AL173&lt;95,"likely, probable",IF(AL173&lt;99,"very likely","almost certainly"))))))</f>
        <v>#DIV/0!</v>
      </c>
      <c r="AO174" s="234"/>
      <c r="AP174" s="239"/>
      <c r="AQ174" s="204" t="e">
        <f>IF(AQ173&lt;1,"almost certainly not",IF(AQ173&lt;5,"very unlikely",IF(AQ173&lt;25,"unlikely, probably not",IF(AQ173&lt;75,"possibly, may (not)",IF(AQ173&lt;95,"likely, probable",IF(AQ173&lt;99,"very likely","almost certainly"))))))</f>
        <v>#VALUE!</v>
      </c>
      <c r="AT174" s="234"/>
      <c r="AU174" s="268"/>
      <c r="AV174" s="204" t="e">
        <f>IF(AV173&lt;1,"almost certainly not",IF(AV173&lt;5,"very unlikely",IF(AV173&lt;25,"unlikely, probably not",IF(AV173&lt;75,"possibly, may (not)",IF(AV173&lt;95,"likely, probable",IF(AV173&lt;99,"very likely","almost certainly"))))))</f>
        <v>#VALUE!</v>
      </c>
      <c r="AW174" s="204" t="e">
        <f>IF(AW173&lt;1,"almost certainly not",IF(AW173&lt;5,"very unlikely",IF(AW173&lt;25,"unlikely, probably not",IF(AW173&lt;75,"possibly, may (not)",IF(AW173&lt;95,"likely, probable",IF(AW173&lt;99,"very likely","almost certainly"))))))</f>
        <v>#VALUE!</v>
      </c>
      <c r="AX174" s="204" t="e">
        <f>IF(AX173&lt;1,"almost certainly not",IF(AX173&lt;5,"very unlikely",IF(AX173&lt;25,"unlikely, probably not",IF(AX173&lt;75,"possibly, may (not)",IF(AX173&lt;95,"likely, probable",IF(AX173&lt;99,"very likely","almost certainly"))))))</f>
        <v>#VALUE!</v>
      </c>
      <c r="AY174" s="204" t="e">
        <f>IF(AY173&lt;1,"almost certainly not",IF(AY173&lt;5,"very unlikely",IF(AY173&lt;25,"unlikely, probably not",IF(AY173&lt;75,"possibly, may (not)",IF(AY173&lt;95,"likely, probable",IF(AY173&lt;99,"very likely","almost certainly"))))))</f>
        <v>#DIV/0!</v>
      </c>
      <c r="BB174" s="234"/>
      <c r="BC174" s="239"/>
      <c r="BD174" s="204" t="e">
        <f>IF(BD173&lt;1,"almost certainly not",IF(BD173&lt;5,"very unlikely",IF(BD173&lt;25,"unlikely, probably not",IF(BD173&lt;75,"possibly, may (not)",IF(BD173&lt;95,"likely, probable",IF(BD173&lt;99,"very likely","almost certainly"))))))</f>
        <v>#VALUE!</v>
      </c>
      <c r="BG174" s="234"/>
      <c r="BH174" s="268"/>
      <c r="BI174" s="204" t="e">
        <f>IF(BI173&lt;1,"almost certainly not",IF(BI173&lt;5,"very unlikely",IF(BI173&lt;25,"unlikely, probably not",IF(BI173&lt;75,"possibly, may (not)",IF(BI173&lt;95,"likely, probable",IF(BI173&lt;99,"very likely","almost certainly"))))))</f>
        <v>#VALUE!</v>
      </c>
      <c r="BJ174" s="204" t="e">
        <f>IF(BJ173&lt;1,"almost certainly not",IF(BJ173&lt;5,"very unlikely",IF(BJ173&lt;25,"unlikely, probably not",IF(BJ173&lt;75,"possibly, may (not)",IF(BJ173&lt;95,"likely, probable",IF(BJ173&lt;99,"very likely","almost certainly"))))))</f>
        <v>#VALUE!</v>
      </c>
      <c r="BK174" s="204" t="e">
        <f>IF(BK173&lt;1,"almost certainly not",IF(BK173&lt;5,"very unlikely",IF(BK173&lt;25,"unlikely, probably not",IF(BK173&lt;75,"possibly, may (not)",IF(BK173&lt;95,"likely, probable",IF(BK173&lt;99,"very likely","almost certainly"))))))</f>
        <v>#VALUE!</v>
      </c>
      <c r="BL174" s="204" t="e">
        <f>IF(BL173&lt;1,"almost certainly not",IF(BL173&lt;5,"very unlikely",IF(BL173&lt;25,"unlikely, probably not",IF(BL173&lt;75,"possibly, may (not)",IF(BL173&lt;95,"likely, probable",IF(BL173&lt;99,"very likely","almost certainly"))))))</f>
        <v>#DIV/0!</v>
      </c>
    </row>
    <row r="175" spans="15:64" ht="12.75">
      <c r="O175" s="234"/>
      <c r="P175" s="240" t="s">
        <v>25</v>
      </c>
      <c r="Q175" s="203">
        <f>IF(ISERROR(TDIST((Q170-Q165)/ABS(Q165)*TINV(Q162,Q164),Q164,1)),TDIST((Q165-Q170)/ABS(Q165)*TINV(Q162,Q164),Q164,1),1-TDIST((Q170-Q165)/ABS(Q165)*TINV(Q162,Q164),Q164,1))*100</f>
        <v>3.650267939152363</v>
      </c>
      <c r="T175" s="234"/>
      <c r="U175" s="240" t="s">
        <v>25</v>
      </c>
      <c r="V175" s="203">
        <f>IF(ISERROR(TDIST((V170-V165)/ABS(V165)*TINV(V162,V164),V164,1)),TDIST((V165-V170)/ABS(V165)*TINV(V162,V164),V164,1),1-TDIST((V170-V165)/ABS(V165)*TINV(V162,V164),V164,1))*100</f>
        <v>70.5584813213784</v>
      </c>
      <c r="W175" s="203">
        <f>IF(ISERROR(TDIST((W170-W165)/ABS(W165)*TINV(W162,W164),W164,1)),TDIST((W165-W170)/ABS(W165)*TINV(W162,W164),W164,1),1-TDIST((W170-W165)/ABS(W165)*TINV(W162,W164),W164,1))*100</f>
        <v>20.070686067630323</v>
      </c>
      <c r="X175" s="203">
        <f>IF(ISERROR(TDIST((X170-X165)/ABS(X165)*TINV(X162,X164),X164,1)),TDIST((X165-X170)/ABS(X165)*TINV(X162,X164),X164,1),1-TDIST((X170-X165)/ABS(X165)*TINV(X162,X164),X164,1))*100</f>
        <v>0.006355121111378732</v>
      </c>
      <c r="Y175" s="203" t="e">
        <f>IF(ISERROR(TDIST((Y170-Y165)/ABS(Y165)*TINV(Y162,Y164),Y164,1)),TDIST((Y165-Y170)/ABS(Y165)*TINV(Y162,Y164),Y164,1),1-TDIST((Y170-Y165)/ABS(Y165)*TINV(Y162,Y164),Y164,1))*100</f>
        <v>#DIV/0!</v>
      </c>
      <c r="AB175" s="234"/>
      <c r="AC175" s="240" t="s">
        <v>25</v>
      </c>
      <c r="AD175" s="203" t="e">
        <f>IF(ISERROR(TDIST((AD170-AD165)/ABS(AD165)*TINV(AD162,AD164),AD164,1)),TDIST((AD165-AD170)/ABS(AD165)*TINV(AD162,AD164),AD164,1),1-TDIST((AD170-AD165)/ABS(AD165)*TINV(AD162,AD164),AD164,1))*100</f>
        <v>#VALUE!</v>
      </c>
      <c r="AG175" s="234"/>
      <c r="AH175" s="240" t="s">
        <v>25</v>
      </c>
      <c r="AI175" s="203" t="e">
        <f>IF(ISERROR(TDIST((AI170-AI165)/ABS(AI165)*TINV(AI162,AI164),AI164,1)),TDIST((AI165-AI170)/ABS(AI165)*TINV(AI162,AI164),AI164,1),1-TDIST((AI170-AI165)/ABS(AI165)*TINV(AI162,AI164),AI164,1))*100</f>
        <v>#VALUE!</v>
      </c>
      <c r="AJ175" s="203" t="e">
        <f>IF(ISERROR(TDIST((AJ170-AJ165)/ABS(AJ165)*TINV(AJ162,AJ164),AJ164,1)),TDIST((AJ165-AJ170)/ABS(AJ165)*TINV(AJ162,AJ164),AJ164,1),1-TDIST((AJ170-AJ165)/ABS(AJ165)*TINV(AJ162,AJ164),AJ164,1))*100</f>
        <v>#VALUE!</v>
      </c>
      <c r="AK175" s="203" t="e">
        <f>IF(ISERROR(TDIST((AK170-AK165)/ABS(AK165)*TINV(AK162,AK164),AK164,1)),TDIST((AK165-AK170)/ABS(AK165)*TINV(AK162,AK164),AK164,1),1-TDIST((AK170-AK165)/ABS(AK165)*TINV(AK162,AK164),AK164,1))*100</f>
        <v>#VALUE!</v>
      </c>
      <c r="AL175" s="203" t="e">
        <f>IF(ISERROR(TDIST((AL170-AL165)/ABS(AL165)*TINV(AL162,AL164),AL164,1)),TDIST((AL165-AL170)/ABS(AL165)*TINV(AL162,AL164),AL164,1),1-TDIST((AL170-AL165)/ABS(AL165)*TINV(AL162,AL164),AL164,1))*100</f>
        <v>#DIV/0!</v>
      </c>
      <c r="AO175" s="234"/>
      <c r="AP175" s="240" t="s">
        <v>25</v>
      </c>
      <c r="AQ175" s="203" t="e">
        <f>IF(ISERROR(TDIST((AQ170-AQ165)/ABS(AQ165)*TINV(AQ162,AQ164),AQ164,1)),TDIST((AQ165-AQ170)/ABS(AQ165)*TINV(AQ162,AQ164),AQ164,1),1-TDIST((AQ170-AQ165)/ABS(AQ165)*TINV(AQ162,AQ164),AQ164,1))*100</f>
        <v>#VALUE!</v>
      </c>
      <c r="AT175" s="234"/>
      <c r="AU175" s="240" t="s">
        <v>25</v>
      </c>
      <c r="AV175" s="203" t="e">
        <f>IF(ISERROR(TDIST((AV170-AV165)/ABS(AV165)*TINV(AV162,AV164),AV164,1)),TDIST((AV165-AV170)/ABS(AV165)*TINV(AV162,AV164),AV164,1),1-TDIST((AV170-AV165)/ABS(AV165)*TINV(AV162,AV164),AV164,1))*100</f>
        <v>#VALUE!</v>
      </c>
      <c r="AW175" s="203" t="e">
        <f>IF(ISERROR(TDIST((AW170-AW165)/ABS(AW165)*TINV(AW162,AW164),AW164,1)),TDIST((AW165-AW170)/ABS(AW165)*TINV(AW162,AW164),AW164,1),1-TDIST((AW170-AW165)/ABS(AW165)*TINV(AW162,AW164),AW164,1))*100</f>
        <v>#VALUE!</v>
      </c>
      <c r="AX175" s="203" t="e">
        <f>IF(ISERROR(TDIST((AX170-AX165)/ABS(AX165)*TINV(AX162,AX164),AX164,1)),TDIST((AX165-AX170)/ABS(AX165)*TINV(AX162,AX164),AX164,1),1-TDIST((AX170-AX165)/ABS(AX165)*TINV(AX162,AX164),AX164,1))*100</f>
        <v>#VALUE!</v>
      </c>
      <c r="AY175" s="203" t="e">
        <f>IF(ISERROR(TDIST((AY170-AY165)/ABS(AY165)*TINV(AY162,AY164),AY164,1)),TDIST((AY165-AY170)/ABS(AY165)*TINV(AY162,AY164),AY164,1),1-TDIST((AY170-AY165)/ABS(AY165)*TINV(AY162,AY164),AY164,1))*100</f>
        <v>#DIV/0!</v>
      </c>
      <c r="BB175" s="234"/>
      <c r="BC175" s="240" t="s">
        <v>25</v>
      </c>
      <c r="BD175" s="203" t="e">
        <f>IF(ISERROR(TDIST((BD170-BD165)/ABS(BD165)*TINV(BD162,BD164),BD164,1)),TDIST((BD165-BD170)/ABS(BD165)*TINV(BD162,BD164),BD164,1),1-TDIST((BD170-BD165)/ABS(BD165)*TINV(BD162,BD164),BD164,1))*100</f>
        <v>#VALUE!</v>
      </c>
      <c r="BG175" s="234"/>
      <c r="BH175" s="240" t="s">
        <v>25</v>
      </c>
      <c r="BI175" s="203" t="e">
        <f>IF(ISERROR(TDIST((BI170-BI165)/ABS(BI165)*TINV(BI162,BI164),BI164,1)),TDIST((BI165-BI170)/ABS(BI165)*TINV(BI162,BI164),BI164,1),1-TDIST((BI170-BI165)/ABS(BI165)*TINV(BI162,BI164),BI164,1))*100</f>
        <v>#VALUE!</v>
      </c>
      <c r="BJ175" s="203" t="e">
        <f>IF(ISERROR(TDIST((BJ170-BJ165)/ABS(BJ165)*TINV(BJ162,BJ164),BJ164,1)),TDIST((BJ165-BJ170)/ABS(BJ165)*TINV(BJ162,BJ164),BJ164,1),1-TDIST((BJ170-BJ165)/ABS(BJ165)*TINV(BJ162,BJ164),BJ164,1))*100</f>
        <v>#VALUE!</v>
      </c>
      <c r="BK175" s="203" t="e">
        <f>IF(ISERROR(TDIST((BK170-BK165)/ABS(BK165)*TINV(BK162,BK164),BK164,1)),TDIST((BK165-BK170)/ABS(BK165)*TINV(BK162,BK164),BK164,1),1-TDIST((BK170-BK165)/ABS(BK165)*TINV(BK162,BK164),BK164,1))*100</f>
        <v>#VALUE!</v>
      </c>
      <c r="BL175" s="203" t="e">
        <f>IF(ISERROR(TDIST((BL170-BL165)/ABS(BL165)*TINV(BL162,BL164),BL164,1)),TDIST((BL165-BL170)/ABS(BL165)*TINV(BL162,BL164),BL164,1),1-TDIST((BL170-BL165)/ABS(BL165)*TINV(BL162,BL164),BL164,1))*100</f>
        <v>#DIV/0!</v>
      </c>
    </row>
    <row r="176" spans="5:64" ht="29.25">
      <c r="E176" s="27"/>
      <c r="F176" s="34"/>
      <c r="G176" s="27"/>
      <c r="O176" s="235"/>
      <c r="P176" s="242"/>
      <c r="Q176" s="204" t="str">
        <f>IF(Q175&lt;1,"almost certainly not",IF(Q175&lt;5,"very unlikely",IF(Q175&lt;25,"unlikely, probably not",IF(Q175&lt;75,"possibly, may (not)",IF(Q175&lt;95,"likely, probable",IF(Q175&lt;99,"very likely","almost certainly"))))))</f>
        <v>very unlikely</v>
      </c>
      <c r="T176" s="235"/>
      <c r="U176" s="242"/>
      <c r="V176" s="204" t="str">
        <f>IF(V175&lt;1,"almost certainly not",IF(V175&lt;5,"very unlikely",IF(V175&lt;25,"unlikely, probably not",IF(V175&lt;75,"possibly, may (not)",IF(V175&lt;95,"likely, probable",IF(V175&lt;99,"very likely","almost certainly"))))))</f>
        <v>possibly, may (not)</v>
      </c>
      <c r="W176" s="204" t="str">
        <f>IF(W175&lt;1,"almost certainly not",IF(W175&lt;5,"very unlikely",IF(W175&lt;25,"unlikely, probably not",IF(W175&lt;75,"possibly, may (not)",IF(W175&lt;95,"likely, probable",IF(W175&lt;99,"very likely","almost certainly"))))))</f>
        <v>unlikely, probably not</v>
      </c>
      <c r="X176" s="204" t="str">
        <f>IF(X175&lt;1,"almost certainly not",IF(X175&lt;5,"very unlikely",IF(X175&lt;25,"unlikely, probably not",IF(X175&lt;75,"possibly, may (not)",IF(X175&lt;95,"likely, probable",IF(X175&lt;99,"very likely","almost certainly"))))))</f>
        <v>almost certainly not</v>
      </c>
      <c r="Y176" s="204" t="e">
        <f>IF(Y175&lt;1,"almost certainly not",IF(Y175&lt;5,"very unlikely",IF(Y175&lt;25,"unlikely, probably not",IF(Y175&lt;75,"possibly, may (not)",IF(Y175&lt;95,"likely, probable",IF(Y175&lt;99,"very likely","almost certainly"))))))</f>
        <v>#DIV/0!</v>
      </c>
      <c r="AB176" s="235"/>
      <c r="AC176" s="242"/>
      <c r="AD176" s="204" t="e">
        <f>IF(AD175&lt;1,"almost certainly not",IF(AD175&lt;5,"very unlikely",IF(AD175&lt;25,"unlikely, probably not",IF(AD175&lt;75,"possibly, may (not)",IF(AD175&lt;95,"likely, probable",IF(AD175&lt;99,"very likely","almost certainly"))))))</f>
        <v>#VALUE!</v>
      </c>
      <c r="AG176" s="235"/>
      <c r="AH176" s="242"/>
      <c r="AI176" s="204" t="e">
        <f>IF(AI175&lt;1,"almost certainly not",IF(AI175&lt;5,"very unlikely",IF(AI175&lt;25,"unlikely, probably not",IF(AI175&lt;75,"possibly, may (not)",IF(AI175&lt;95,"likely, probable",IF(AI175&lt;99,"very likely","almost certainly"))))))</f>
        <v>#VALUE!</v>
      </c>
      <c r="AJ176" s="204" t="e">
        <f>IF(AJ175&lt;1,"almost certainly not",IF(AJ175&lt;5,"very unlikely",IF(AJ175&lt;25,"unlikely, probably not",IF(AJ175&lt;75,"possibly, may (not)",IF(AJ175&lt;95,"likely, probable",IF(AJ175&lt;99,"very likely","almost certainly"))))))</f>
        <v>#VALUE!</v>
      </c>
      <c r="AK176" s="204" t="e">
        <f>IF(AK175&lt;1,"almost certainly not",IF(AK175&lt;5,"very unlikely",IF(AK175&lt;25,"unlikely, probably not",IF(AK175&lt;75,"possibly, may (not)",IF(AK175&lt;95,"likely, probable",IF(AK175&lt;99,"very likely","almost certainly"))))))</f>
        <v>#VALUE!</v>
      </c>
      <c r="AL176" s="204" t="e">
        <f>IF(AL175&lt;1,"almost certainly not",IF(AL175&lt;5,"very unlikely",IF(AL175&lt;25,"unlikely, probably not",IF(AL175&lt;75,"possibly, may (not)",IF(AL175&lt;95,"likely, probable",IF(AL175&lt;99,"very likely","almost certainly"))))))</f>
        <v>#DIV/0!</v>
      </c>
      <c r="AO176" s="235"/>
      <c r="AP176" s="242"/>
      <c r="AQ176" s="204" t="e">
        <f>IF(AQ175&lt;1,"almost certainly not",IF(AQ175&lt;5,"very unlikely",IF(AQ175&lt;25,"unlikely, probably not",IF(AQ175&lt;75,"possibly, may (not)",IF(AQ175&lt;95,"likely, probable",IF(AQ175&lt;99,"very likely","almost certainly"))))))</f>
        <v>#VALUE!</v>
      </c>
      <c r="AT176" s="235"/>
      <c r="AU176" s="242"/>
      <c r="AV176" s="204" t="e">
        <f>IF(AV175&lt;1,"almost certainly not",IF(AV175&lt;5,"very unlikely",IF(AV175&lt;25,"unlikely, probably not",IF(AV175&lt;75,"possibly, may (not)",IF(AV175&lt;95,"likely, probable",IF(AV175&lt;99,"very likely","almost certainly"))))))</f>
        <v>#VALUE!</v>
      </c>
      <c r="AW176" s="204" t="e">
        <f>IF(AW175&lt;1,"almost certainly not",IF(AW175&lt;5,"very unlikely",IF(AW175&lt;25,"unlikely, probably not",IF(AW175&lt;75,"possibly, may (not)",IF(AW175&lt;95,"likely, probable",IF(AW175&lt;99,"very likely","almost certainly"))))))</f>
        <v>#VALUE!</v>
      </c>
      <c r="AX176" s="204" t="e">
        <f>IF(AX175&lt;1,"almost certainly not",IF(AX175&lt;5,"very unlikely",IF(AX175&lt;25,"unlikely, probably not",IF(AX175&lt;75,"possibly, may (not)",IF(AX175&lt;95,"likely, probable",IF(AX175&lt;99,"very likely","almost certainly"))))))</f>
        <v>#VALUE!</v>
      </c>
      <c r="AY176" s="204" t="e">
        <f>IF(AY175&lt;1,"almost certainly not",IF(AY175&lt;5,"very unlikely",IF(AY175&lt;25,"unlikely, probably not",IF(AY175&lt;75,"possibly, may (not)",IF(AY175&lt;95,"likely, probable",IF(AY175&lt;99,"very likely","almost certainly"))))))</f>
        <v>#DIV/0!</v>
      </c>
      <c r="BB176" s="235"/>
      <c r="BC176" s="242"/>
      <c r="BD176" s="204" t="e">
        <f>IF(BD175&lt;1,"almost certainly not",IF(BD175&lt;5,"very unlikely",IF(BD175&lt;25,"unlikely, probably not",IF(BD175&lt;75,"possibly, may (not)",IF(BD175&lt;95,"likely, probable",IF(BD175&lt;99,"very likely","almost certainly"))))))</f>
        <v>#VALUE!</v>
      </c>
      <c r="BG176" s="235"/>
      <c r="BH176" s="242"/>
      <c r="BI176" s="204" t="e">
        <f>IF(BI175&lt;1,"almost certainly not",IF(BI175&lt;5,"very unlikely",IF(BI175&lt;25,"unlikely, probably not",IF(BI175&lt;75,"possibly, may (not)",IF(BI175&lt;95,"likely, probable",IF(BI175&lt;99,"very likely","almost certainly"))))))</f>
        <v>#VALUE!</v>
      </c>
      <c r="BJ176" s="204" t="e">
        <f>IF(BJ175&lt;1,"almost certainly not",IF(BJ175&lt;5,"very unlikely",IF(BJ175&lt;25,"unlikely, probably not",IF(BJ175&lt;75,"possibly, may (not)",IF(BJ175&lt;95,"likely, probable",IF(BJ175&lt;99,"very likely","almost certainly"))))))</f>
        <v>#VALUE!</v>
      </c>
      <c r="BK176" s="204" t="e">
        <f>IF(BK175&lt;1,"almost certainly not",IF(BK175&lt;5,"very unlikely",IF(BK175&lt;25,"unlikely, probably not",IF(BK175&lt;75,"possibly, may (not)",IF(BK175&lt;95,"likely, probable",IF(BK175&lt;99,"very likely","almost certainly"))))))</f>
        <v>#VALUE!</v>
      </c>
      <c r="BL176" s="204" t="e">
        <f>IF(BL175&lt;1,"almost certainly not",IF(BL175&lt;5,"very unlikely",IF(BL175&lt;25,"unlikely, probably not",IF(BL175&lt;75,"possibly, may (not)",IF(BL175&lt;95,"likely, probable",IF(BL175&lt;99,"very likely","almost certainly"))))))</f>
        <v>#DIV/0!</v>
      </c>
    </row>
    <row r="177" spans="5:64" ht="12.75">
      <c r="E177" s="27"/>
      <c r="F177" s="132"/>
      <c r="G177" s="27"/>
      <c r="M177" s="27"/>
      <c r="N177" s="27"/>
      <c r="O177" s="25"/>
      <c r="P177" s="49"/>
      <c r="Q177" s="206"/>
      <c r="T177" s="25"/>
      <c r="U177" s="49"/>
      <c r="V177" s="205"/>
      <c r="W177" s="205"/>
      <c r="X177" s="206"/>
      <c r="Y177" s="206"/>
      <c r="AB177" s="25"/>
      <c r="AC177" s="49"/>
      <c r="AD177" s="205"/>
      <c r="AG177" s="25"/>
      <c r="AH177" s="49"/>
      <c r="AI177" s="205"/>
      <c r="AJ177" s="205"/>
      <c r="AK177" s="206"/>
      <c r="AL177" s="206"/>
      <c r="AO177" s="25"/>
      <c r="AP177" s="49"/>
      <c r="AQ177" s="205"/>
      <c r="AT177" s="25"/>
      <c r="AU177" s="49"/>
      <c r="AV177" s="205"/>
      <c r="AW177" s="205"/>
      <c r="AX177" s="206"/>
      <c r="AY177" s="206"/>
      <c r="BB177" s="25"/>
      <c r="BC177" s="49"/>
      <c r="BD177" s="205"/>
      <c r="BG177" s="25"/>
      <c r="BH177" s="49"/>
      <c r="BI177" s="205"/>
      <c r="BJ177" s="205"/>
      <c r="BK177" s="206"/>
      <c r="BL177" s="206"/>
    </row>
    <row r="178" spans="5:64" ht="12.75">
      <c r="E178" s="27"/>
      <c r="F178" s="27"/>
      <c r="G178" s="27"/>
      <c r="O178" s="25"/>
      <c r="P178" s="38" t="s">
        <v>28</v>
      </c>
      <c r="Q178" s="165">
        <f>IF(ISERROR(SQRT(Q72^2-Q45^2)),-SQRT(Q45^2-Q72^2),SQRT(Q72^2-Q45^2))</f>
        <v>12.705680464863864</v>
      </c>
      <c r="T178" s="25"/>
      <c r="U178" s="38" t="s">
        <v>28</v>
      </c>
      <c r="V178" s="165">
        <f>IF(ISERROR(SQRT(V72^2-V45^2)),-SQRT(V45^2-V72^2),SQRT(V72^2-V45^2))</f>
        <v>8.34218429676455</v>
      </c>
      <c r="W178" s="165">
        <f>IF(ISERROR(SQRT(W72^2-W45^2)),-SQRT(W45^2-W72^2),SQRT(W72^2-W45^2))</f>
        <v>9.606409337447545</v>
      </c>
      <c r="X178" s="207">
        <f>IF(ISERROR(SQRT(X72^2-X45^2)),-SQRT(X45^2-X72^2),SQRT(X72^2-X45^2))</f>
        <v>8.057513884311616</v>
      </c>
      <c r="Y178" s="207" t="e">
        <f>IF(ISERROR(SQRT(Y72^2-Y45^2)),-SQRT(Y45^2-Y72^2),SQRT(Y72^2-Y45^2))</f>
        <v>#DIV/0!</v>
      </c>
      <c r="AB178" s="25"/>
      <c r="AC178" s="38" t="s">
        <v>28</v>
      </c>
      <c r="AD178" s="165">
        <f>IF(ISERROR(SQRT(AD72^2-AD45^2)),-SQRT(AD45^2-AD72^2),SQRT(AD72^2-AD45^2))</f>
        <v>16.09985186514607</v>
      </c>
      <c r="AG178" s="25"/>
      <c r="AH178" s="38" t="s">
        <v>28</v>
      </c>
      <c r="AI178" s="165">
        <f>IF(ISERROR(SQRT(AI72^2-AI45^2)),-SQRT(AI45^2-AI72^2),SQRT(AI72^2-AI45^2))</f>
        <v>12.922653418054605</v>
      </c>
      <c r="AJ178" s="165">
        <f>IF(ISERROR(SQRT(AJ72^2-AJ45^2)),-SQRT(AJ45^2-AJ72^2),SQRT(AJ72^2-AJ45^2))</f>
        <v>16.696719714608466</v>
      </c>
      <c r="AK178" s="207">
        <f>IF(ISERROR(SQRT(AK72^2-AK45^2)),-SQRT(AK45^2-AK72^2),SQRT(AK72^2-AK45^2))</f>
        <v>8.855402744583865</v>
      </c>
      <c r="AL178" s="207" t="e">
        <f>IF(ISERROR(SQRT(AL72^2-AL45^2)),-SQRT(AL45^2-AL72^2),SQRT(AL72^2-AL45^2))</f>
        <v>#DIV/0!</v>
      </c>
      <c r="AO178" s="25"/>
      <c r="AP178" s="38" t="s">
        <v>28</v>
      </c>
      <c r="AQ178" s="54">
        <f>IF(ISERROR(SQRT(AQ72^2-AQ45^2)),-SQRT(AQ45^2-AQ72^2),SQRT(AQ72^2-AQ45^2))</f>
        <v>0.1999556636188927</v>
      </c>
      <c r="AT178" s="25"/>
      <c r="AU178" s="38" t="s">
        <v>28</v>
      </c>
      <c r="AV178" s="54">
        <f>IF(ISERROR(SQRT(AV72^2-AV45^2)),-SQRT(AV45^2-AV72^2),SQRT(AV72^2-AV45^2))</f>
        <v>0.13637357990961624</v>
      </c>
      <c r="AW178" s="54">
        <f>IF(ISERROR(SQRT(AW72^2-AW45^2)),-SQRT(AW45^2-AW72^2),SQRT(AW72^2-AW45^2))</f>
        <v>0.15141404134026695</v>
      </c>
      <c r="AX178" s="212">
        <f>IF(ISERROR(SQRT(AX72^2-AX45^2)),-SQRT(AX45^2-AX72^2),SQRT(AX72^2-AX45^2))</f>
        <v>0.13462292026355688</v>
      </c>
      <c r="AY178" s="207" t="e">
        <f>IF(ISERROR(SQRT(AY72^2-AY45^2)),-SQRT(AY45^2-AY72^2),SQRT(AY72^2-AY45^2))</f>
        <v>#DIV/0!</v>
      </c>
      <c r="BB178" s="25"/>
      <c r="BC178" s="38" t="s">
        <v>28</v>
      </c>
      <c r="BD178" s="216">
        <f>IF(ISERROR(SQRT(BD72^2-BD45^2)),-SQRT(BD45^2-BD72^2),SQRT(BD72^2-BD45^2))</f>
        <v>0.021081809197013784</v>
      </c>
      <c r="BG178" s="25"/>
      <c r="BH178" s="38" t="s">
        <v>28</v>
      </c>
      <c r="BI178" s="216">
        <f>IF(ISERROR(SQRT(BI72^2-BI45^2)),-SQRT(BI45^2-BI72^2),SQRT(BI72^2-BI45^2))</f>
        <v>0.014495948113936997</v>
      </c>
      <c r="BJ178" s="216">
        <f>IF(ISERROR(SQRT(BJ72^2-BJ45^2)),-SQRT(BJ45^2-BJ72^2),SQRT(BJ72^2-BJ45^2))</f>
        <v>0.015945446698060427</v>
      </c>
      <c r="BK178" s="217">
        <f>IF(ISERROR(SQRT(BK72^2-BK45^2)),-SQRT(BK45^2-BK72^2),SQRT(BK72^2-BK45^2))</f>
        <v>0.014385758561833066</v>
      </c>
      <c r="BL178" s="217" t="e">
        <f>IF(ISERROR(SQRT(BL72^2-BL45^2)),-SQRT(BL45^2-BL72^2),SQRT(BL72^2-BL45^2))</f>
        <v>#DIV/0!</v>
      </c>
    </row>
    <row r="179" spans="5:64" ht="12.75" customHeight="1">
      <c r="E179" s="27"/>
      <c r="F179" s="27"/>
      <c r="G179" s="34"/>
      <c r="O179" s="226" t="str">
        <f>CONCATENATE(TEXT($E$20,"0"),"% confidence
limits (approx.)")</f>
        <v>90% confidence
limits (approx.)</v>
      </c>
      <c r="P179" s="26" t="s">
        <v>19</v>
      </c>
      <c r="Q179" s="186">
        <f>IF(ISERROR(SQRT(Q72^2-Q45^2+NORMINV(0.5-$E$20/200,0,1)*SQRT(2*Q45^4/(COUNT(Q24:Q43)-1)+2*Q72^4/(COUNT(Q51:Q70)-1)))),-SQRT(-(Q72^2-Q45^2+NORMINV(0.5-$E$20/200,0,1)*SQRT(2*Q45^4/(COUNT(Q24:Q43)-1)+2*Q72^4/(COUNT(Q51:Q70)-1)))),SQRT(Q72^2-Q45^2+NORMINV(0.5-$E$20/200,0,1)*SQRT(2*Q45^4/(COUNT(Q24:Q43)-1)+2*Q72^4/(COUNT(Q51:Q70)-1))))</f>
        <v>-10.312086627426737</v>
      </c>
      <c r="T179" s="226" t="str">
        <f>CONCATENATE(TEXT($E$20,"0"),"% confidence
limits (approx.)")</f>
        <v>90% confidence
limits (approx.)</v>
      </c>
      <c r="U179" s="26" t="s">
        <v>19</v>
      </c>
      <c r="V179" s="186">
        <f>IF(ISERROR(SQRT(V72^2-V45^2+NORMINV(0.5-$E$20/200,0,1)*SQRT(2*V45^4/(COUNT(V24:V43)-1)+2*V72^4/(COUNT(V51:V70)-1)))),-SQRT(-(V72^2-V45^2+NORMINV(0.5-$E$20/200,0,1)*SQRT(2*V45^4/(COUNT(V24:V43)-1)+2*V72^4/(COUNT(V51:V70)-1)))),SQRT(V72^2-V45^2+NORMINV(0.5-$E$20/200,0,1)*SQRT(2*V45^4/(COUNT(V24:V43)-1)+2*V72^4/(COUNT(V51:V70)-1))))</f>
        <v>3.678018342672445</v>
      </c>
      <c r="W179" s="186">
        <f>IF(ISERROR(SQRT(W72^2-W45^2+NORMINV(0.5-$E$20/200,0,1)*SQRT(2*W45^4/(COUNT(W24:W43)-1)+2*W72^4/(COUNT(W51:W70)-1)))),-SQRT(-(W72^2-W45^2+NORMINV(0.5-$E$20/200,0,1)*SQRT(2*W45^4/(COUNT(W24:W43)-1)+2*W72^4/(COUNT(W51:W70)-1)))),SQRT(W72^2-W45^2+NORMINV(0.5-$E$20/200,0,1)*SQRT(2*W45^4/(COUNT(W24:W43)-1)+2*W72^4/(COUNT(W51:W70)-1))))</f>
        <v>-0.33172659622612033</v>
      </c>
      <c r="X179" s="186">
        <f>IF(ISERROR(SQRT(X72^2-X45^2+NORMINV(0.5-$E$20/200,0,1)*SQRT(2*X45^4/(COUNT(X24:X43)-1)+2*X72^4/(COUNT(X51:X70)-1)))),-SQRT(-(X72^2-X45^2+NORMINV(0.5-$E$20/200,0,1)*SQRT(2*X45^4/(COUNT(X24:X43)-1)+2*X72^4/(COUNT(X51:X70)-1)))),SQRT(X72^2-X45^2+NORMINV(0.5-$E$20/200,0,1)*SQRT(2*X45^4/(COUNT(X24:X43)-1)+2*X72^4/(COUNT(X51:X70)-1))))</f>
        <v>-4.448005219320641</v>
      </c>
      <c r="Y179" s="186" t="e">
        <f>IF(ISERROR(SQRT(Y72^2-Y45^2+NORMINV(0.5-$E$20/200,0,1)*SQRT(2*Y45^4/(COUNT(Y24:Y43)-1)+2*Y72^4/(COUNT(Y51:Y70)-1)))),-SQRT(-(Y72^2-Y45^2+NORMINV(0.5-$E$20/200,0,1)*SQRT(2*Y45^4/(COUNT(Y24:Y43)-1)+2*Y72^4/(COUNT(Y51:Y70)-1)))),SQRT(Y72^2-Y45^2+NORMINV(0.5-$E$20/200,0,1)*SQRT(2*Y45^4/(COUNT(Y24:Y43)-1)+2*Y72^4/(COUNT(Y51:Y70)-1))))</f>
        <v>#DIV/0!</v>
      </c>
      <c r="AB179" s="226" t="str">
        <f>CONCATENATE(TEXT($E$20,"0"),"% confidence
limits (approx.)")</f>
        <v>90% confidence
limits (approx.)</v>
      </c>
      <c r="AC179" s="26" t="s">
        <v>19</v>
      </c>
      <c r="AD179" s="186">
        <f>IF(ISERROR(SQRT(AD72^2-AD45^2+NORMINV(0.5-$E$20/200,0,1)*SQRT(2*AD45^4/(COUNT(AD24:AD43)-1)+2*AD72^4/(COUNT(AD51:AD70)-1)))),-SQRT(-(AD72^2-AD45^2+NORMINV(0.5-$E$20/200,0,1)*SQRT(2*AD45^4/(COUNT(AD24:AD43)-1)+2*AD72^4/(COUNT(AD51:AD70)-1)))),SQRT(AD72^2-AD45^2+NORMINV(0.5-$E$20/200,0,1)*SQRT(2*AD45^4/(COUNT(AD24:AD43)-1)+2*AD72^4/(COUNT(AD51:AD70)-1))))</f>
        <v>-20.053290193973687</v>
      </c>
      <c r="AG179" s="226" t="str">
        <f>CONCATENATE(TEXT($E$20,"0"),"% confidence
limits (approx.)")</f>
        <v>90% confidence
limits (approx.)</v>
      </c>
      <c r="AH179" s="26" t="s">
        <v>19</v>
      </c>
      <c r="AI179" s="186">
        <f>IF(ISERROR(SQRT(AI72^2-AI45^2+NORMINV(0.5-$E$20/200,0,1)*SQRT(2*AI45^4/(COUNT(AI24:AI43)-1)+2*AI72^4/(COUNT(AI51:AI70)-1)))),-SQRT(-(AI72^2-AI45^2+NORMINV(0.5-$E$20/200,0,1)*SQRT(2*AI45^4/(COUNT(AI24:AI43)-1)+2*AI72^4/(COUNT(AI51:AI70)-1)))),SQRT(AI72^2-AI45^2+NORMINV(0.5-$E$20/200,0,1)*SQRT(2*AI45^4/(COUNT(AI24:AI43)-1)+2*AI72^4/(COUNT(AI51:AI70)-1))))</f>
        <v>4.316585412313083</v>
      </c>
      <c r="AJ179" s="186">
        <f>IF(ISERROR(SQRT(AJ72^2-AJ45^2+NORMINV(0.5-$E$20/200,0,1)*SQRT(2*AJ45^4/(COUNT(AJ24:AJ43)-1)+2*AJ72^4/(COUNT(AJ51:AJ70)-1)))),-SQRT(-(AJ72^2-AJ45^2+NORMINV(0.5-$E$20/200,0,1)*SQRT(2*AJ45^4/(COUNT(AJ24:AJ43)-1)+2*AJ72^4/(COUNT(AJ51:AJ70)-1)))),SQRT(AJ72^2-AJ45^2+NORMINV(0.5-$E$20/200,0,1)*SQRT(2*AJ45^4/(COUNT(AJ24:AJ43)-1)+2*AJ72^4/(COUNT(AJ51:AJ70)-1))))</f>
        <v>3.050137332916141</v>
      </c>
      <c r="AK179" s="186">
        <f>IF(ISERROR(SQRT(AK72^2-AK45^2+NORMINV(0.5-$E$20/200,0,1)*SQRT(2*AK45^4/(COUNT(AK24:AK43)-1)+2*AK72^4/(COUNT(AK51:AK70)-1)))),-SQRT(-(AK72^2-AK45^2+NORMINV(0.5-$E$20/200,0,1)*SQRT(2*AK45^4/(COUNT(AK24:AK43)-1)+2*AK72^4/(COUNT(AK51:AK70)-1)))),SQRT(AK72^2-AK45^2+NORMINV(0.5-$E$20/200,0,1)*SQRT(2*AK45^4/(COUNT(AK24:AK43)-1)+2*AK72^4/(COUNT(AK51:AK70)-1))))</f>
        <v>-11.344176838340992</v>
      </c>
      <c r="AL179" s="186" t="e">
        <f>IF(ISERROR(SQRT(AL72^2-AL45^2+NORMINV(0.5-$E$20/200,0,1)*SQRT(2*AL45^4/(COUNT(AL24:AL43)-1)+2*AL72^4/(COUNT(AL51:AL70)-1)))),-SQRT(-(AL72^2-AL45^2+NORMINV(0.5-$E$20/200,0,1)*SQRT(2*AL45^4/(COUNT(AL24:AL43)-1)+2*AL72^4/(COUNT(AL51:AL70)-1)))),SQRT(AL72^2-AL45^2+NORMINV(0.5-$E$20/200,0,1)*SQRT(2*AL45^4/(COUNT(AL24:AL43)-1)+2*AL72^4/(COUNT(AL51:AL70)-1))))</f>
        <v>#DIV/0!</v>
      </c>
      <c r="AO179" s="226" t="str">
        <f>CONCATENATE(TEXT($E$20,"0"),"% confidence
limits (approx.)")</f>
        <v>90% confidence
limits (approx.)</v>
      </c>
      <c r="AP179" s="26" t="s">
        <v>19</v>
      </c>
      <c r="AQ179" s="191">
        <f>IF(ISERROR(SQRT(AQ72^2-AQ45^2+NORMINV(0.5-$E$20/200,0,1)*SQRT(2*AQ45^4/(COUNT(AQ24:AQ43)-1)+2*AQ72^4/(COUNT(AQ51:AQ70)-1)))),-SQRT(-(AQ72^2-AQ45^2+NORMINV(0.5-$E$20/200,0,1)*SQRT(2*AQ45^4/(COUNT(AQ24:AQ43)-1)+2*AQ72^4/(COUNT(AQ51:AQ70)-1)))),SQRT(AQ72^2-AQ45^2+NORMINV(0.5-$E$20/200,0,1)*SQRT(2*AQ45^4/(COUNT(AQ24:AQ43)-1)+2*AQ72^4/(COUNT(AQ51:AQ70)-1))))</f>
        <v>-0.19211685404768802</v>
      </c>
      <c r="AT179" s="226" t="str">
        <f>CONCATENATE(TEXT($E$20,"0"),"% confidence
limits (approx.)")</f>
        <v>90% confidence
limits (approx.)</v>
      </c>
      <c r="AU179" s="26" t="s">
        <v>19</v>
      </c>
      <c r="AV179" s="191">
        <f>IF(ISERROR(SQRT(AV72^2-AV45^2+NORMINV(0.5-$E$20/200,0,1)*SQRT(2*AV45^4/(COUNT(AV24:AV43)-1)+2*AV72^4/(COUNT(AV51:AV70)-1)))),-SQRT(-(AV72^2-AV45^2+NORMINV(0.5-$E$20/200,0,1)*SQRT(2*AV45^4/(COUNT(AV24:AV43)-1)+2*AV72^4/(COUNT(AV51:AV70)-1)))),SQRT(AV72^2-AV45^2+NORMINV(0.5-$E$20/200,0,1)*SQRT(2*AV45^4/(COUNT(AV24:AV43)-1)+2*AV72^4/(COUNT(AV51:AV70)-1))))</f>
        <v>0.05591353548576932</v>
      </c>
      <c r="AW179" s="191">
        <f>IF(ISERROR(SQRT(AW72^2-AW45^2+NORMINV(0.5-$E$20/200,0,1)*SQRT(2*AW45^4/(COUNT(AW24:AW43)-1)+2*AW72^4/(COUNT(AW51:AW70)-1)))),-SQRT(-(AW72^2-AW45^2+NORMINV(0.5-$E$20/200,0,1)*SQRT(2*AW45^4/(COUNT(AW24:AW43)-1)+2*AW72^4/(COUNT(AW51:AW70)-1)))),SQRT(AW72^2-AW45^2+NORMINV(0.5-$E$20/200,0,1)*SQRT(2*AW45^4/(COUNT(AW24:AW43)-1)+2*AW72^4/(COUNT(AW51:AW70)-1))))</f>
        <v>-0.05683909060983581</v>
      </c>
      <c r="AX179" s="191">
        <f>IF(ISERROR(SQRT(AX72^2-AX45^2+NORMINV(0.5-$E$20/200,0,1)*SQRT(2*AX45^4/(COUNT(AX24:AX43)-1)+2*AX72^4/(COUNT(AX51:AX70)-1)))),-SQRT(-(AX72^2-AX45^2+NORMINV(0.5-$E$20/200,0,1)*SQRT(2*AX45^4/(COUNT(AX24:AX43)-1)+2*AX72^4/(COUNT(AX51:AX70)-1)))),SQRT(AX72^2-AX45^2+NORMINV(0.5-$E$20/200,0,1)*SQRT(2*AX45^4/(COUNT(AX24:AX43)-1)+2*AX72^4/(COUNT(AX51:AX70)-1))))</f>
        <v>-0.08174818080079474</v>
      </c>
      <c r="AY179" s="186" t="e">
        <f>IF(ISERROR(SQRT(AY72^2-AY45^2+NORMINV(0.5-$E$20/200,0,1)*SQRT(2*AY45^4/(COUNT(AY24:AY43)-1)+2*AY72^4/(COUNT(AY51:AY70)-1)))),-SQRT(-(AY72^2-AY45^2+NORMINV(0.5-$E$20/200,0,1)*SQRT(2*AY45^4/(COUNT(AY24:AY43)-1)+2*AY72^4/(COUNT(AY51:AY70)-1)))),SQRT(AY72^2-AY45^2+NORMINV(0.5-$E$20/200,0,1)*SQRT(2*AY45^4/(COUNT(AY24:AY43)-1)+2*AY72^4/(COUNT(AY51:AY70)-1))))</f>
        <v>#DIV/0!</v>
      </c>
      <c r="BB179" s="226" t="str">
        <f>CONCATENATE(TEXT($E$20,"0"),"% confidence
limits (approx.)")</f>
        <v>90% confidence
limits (approx.)</v>
      </c>
      <c r="BC179" s="26" t="s">
        <v>19</v>
      </c>
      <c r="BD179" s="194">
        <f>IF(ISERROR(SQRT(BD72^2-BD45^2+NORMINV(0.5-$E$20/200,0,1)*SQRT(2*BD45^4/(COUNT(BD24:BD43)-1)+2*BD72^4/(COUNT(BD51:BD70)-1)))),-SQRT(-(BD72^2-BD45^2+NORMINV(0.5-$E$20/200,0,1)*SQRT(2*BD45^4/(COUNT(BD24:BD43)-1)+2*BD72^4/(COUNT(BD51:BD70)-1)))),SQRT(BD72^2-BD45^2+NORMINV(0.5-$E$20/200,0,1)*SQRT(2*BD45^4/(COUNT(BD24:BD43)-1)+2*BD72^4/(COUNT(BD51:BD70)-1))))</f>
        <v>-0.020673260745655262</v>
      </c>
      <c r="BG179" s="226" t="str">
        <f>CONCATENATE(TEXT($E$20,"0"),"% confidence
limits (approx.)")</f>
        <v>90% confidence
limits (approx.)</v>
      </c>
      <c r="BH179" s="26" t="s">
        <v>19</v>
      </c>
      <c r="BI179" s="194">
        <f>IF(ISERROR(SQRT(BI72^2-BI45^2+NORMINV(0.5-$E$20/200,0,1)*SQRT(2*BI45^4/(COUNT(BI24:BI43)-1)+2*BI72^4/(COUNT(BI51:BI70)-1)))),-SQRT(-(BI72^2-BI45^2+NORMINV(0.5-$E$20/200,0,1)*SQRT(2*BI45^4/(COUNT(BI24:BI43)-1)+2*BI72^4/(COUNT(BI51:BI70)-1)))),SQRT(BI72^2-BI45^2+NORMINV(0.5-$E$20/200,0,1)*SQRT(2*BI45^4/(COUNT(BI24:BI43)-1)+2*BI72^4/(COUNT(BI51:BI70)-1))))</f>
        <v>0.005916019816031292</v>
      </c>
      <c r="BJ179" s="194">
        <f>IF(ISERROR(SQRT(BJ72^2-BJ45^2+NORMINV(0.5-$E$20/200,0,1)*SQRT(2*BJ45^4/(COUNT(BJ24:BJ43)-1)+2*BJ72^4/(COUNT(BJ51:BJ70)-1)))),-SQRT(-(BJ72^2-BJ45^2+NORMINV(0.5-$E$20/200,0,1)*SQRT(2*BJ45^4/(COUNT(BJ24:BJ43)-1)+2*BJ72^4/(COUNT(BJ51:BJ70)-1)))),SQRT(BJ72^2-BJ45^2+NORMINV(0.5-$E$20/200,0,1)*SQRT(2*BJ45^4/(COUNT(BJ24:BJ43)-1)+2*BJ72^4/(COUNT(BJ51:BJ70)-1))))</f>
        <v>-0.0064797517035453545</v>
      </c>
      <c r="BK179" s="194">
        <f>IF(ISERROR(SQRT(BK72^2-BK45^2+NORMINV(0.5-$E$20/200,0,1)*SQRT(2*BK45^4/(COUNT(BK24:BK43)-1)+2*BK72^4/(COUNT(BK51:BK70)-1)))),-SQRT(-(BK72^2-BK45^2+NORMINV(0.5-$E$20/200,0,1)*SQRT(2*BK45^4/(COUNT(BK24:BK43)-1)+2*BK72^4/(COUNT(BK51:BK70)-1)))),SQRT(BK72^2-BK45^2+NORMINV(0.5-$E$20/200,0,1)*SQRT(2*BK45^4/(COUNT(BK24:BK43)-1)+2*BK72^4/(COUNT(BK51:BK70)-1))))</f>
        <v>-0.008723776527440922</v>
      </c>
      <c r="BL179" s="194" t="e">
        <f>IF(ISERROR(SQRT(BL72^2-BL45^2+NORMINV(0.5-$E$20/200,0,1)*SQRT(2*BL45^4/(COUNT(BL24:BL43)-1)+2*BL72^4/(COUNT(BL51:BL70)-1)))),-SQRT(-(BL72^2-BL45^2+NORMINV(0.5-$E$20/200,0,1)*SQRT(2*BL45^4/(COUNT(BL24:BL43)-1)+2*BL72^4/(COUNT(BL51:BL70)-1)))),SQRT(BL72^2-BL45^2+NORMINV(0.5-$E$20/200,0,1)*SQRT(2*BL45^4/(COUNT(BL24:BL43)-1)+2*BL72^4/(COUNT(BL51:BL70)-1))))</f>
        <v>#DIV/0!</v>
      </c>
    </row>
    <row r="180" spans="5:64" ht="24">
      <c r="E180" s="27"/>
      <c r="F180" s="34"/>
      <c r="G180" s="132"/>
      <c r="O180" s="227"/>
      <c r="P180" s="15" t="s">
        <v>20</v>
      </c>
      <c r="Q180" s="208">
        <f>IF(ISERROR(SQRT(Q72^2-Q45^2+NORMINV(0.5+$E$20/200,0,1)*SQRT(2*Q45^4/(COUNT(Q24:Q43)-1)+2*Q72^4/(COUNT(Q51:Q70)-1)))),-SQRT(-(Q72^2-Q45^2+NORMINV(0.5+$E$20/200,0,1)*SQRT(2*Q45^4/(COUNT(Q24:Q43)-1)+2*Q72^4/(COUNT(Q51:Q70)-1)))),SQRT(Q72^2-Q45^2+NORMINV(0.5+$E$20/200,0,1)*SQRT(2*Q45^4/(COUNT(Q24:Q43)-1)+2*Q72^4/(COUNT(Q51:Q70)-1))))</f>
        <v>20.71733001045259</v>
      </c>
      <c r="T180" s="227"/>
      <c r="U180" s="15" t="s">
        <v>20</v>
      </c>
      <c r="V180" s="208">
        <f>IF(ISERROR(SQRT(V72^2-V45^2+NORMINV(0.5+$E$20/200,0,1)*SQRT(2*V45^4/(COUNT(V24:V43)-1)+2*V72^4/(COUNT(V51:V70)-1)))),-SQRT(-(V72^2-V45^2+NORMINV(0.5+$E$20/200,0,1)*SQRT(2*V45^4/(COUNT(V24:V43)-1)+2*V72^4/(COUNT(V51:V70)-1)))),SQRT(V72^2-V45^2+NORMINV(0.5+$E$20/200,0,1)*SQRT(2*V45^4/(COUNT(V24:V43)-1)+2*V72^4/(COUNT(V51:V70)-1))))</f>
        <v>11.209650251160163</v>
      </c>
      <c r="W180" s="208">
        <f>IF(ISERROR(SQRT(W72^2-W45^2+NORMINV(0.5+$E$20/200,0,1)*SQRT(2*W45^4/(COUNT(W24:W43)-1)+2*W72^4/(COUNT(W51:W70)-1)))),-SQRT(-(W72^2-W45^2+NORMINV(0.5+$E$20/200,0,1)*SQRT(2*W45^4/(COUNT(W24:W43)-1)+2*W72^4/(COUNT(W51:W70)-1)))),SQRT(W72^2-W45^2+NORMINV(0.5+$E$20/200,0,1)*SQRT(2*W45^4/(COUNT(W24:W43)-1)+2*W72^4/(COUNT(W51:W70)-1))))</f>
        <v>13.589563762381868</v>
      </c>
      <c r="X180" s="208">
        <f>IF(ISERROR(SQRT(X72^2-X45^2+NORMINV(0.5+$E$20/200,0,1)*SQRT(2*X45^4/(COUNT(X24:X43)-1)+2*X72^4/(COUNT(X51:X70)-1)))),-SQRT(-(X72^2-X45^2+NORMINV(0.5+$E$20/200,0,1)*SQRT(2*X45^4/(COUNT(X24:X43)-1)+2*X72^4/(COUNT(X51:X70)-1)))),SQRT(X72^2-X45^2+NORMINV(0.5+$E$20/200,0,1)*SQRT(2*X45^4/(COUNT(X24:X43)-1)+2*X72^4/(COUNT(X51:X70)-1))))</f>
        <v>12.232408202102011</v>
      </c>
      <c r="Y180" s="208" t="e">
        <f>IF(ISERROR(SQRT(Y72^2-Y45^2+NORMINV(0.5+$E$20/200,0,1)*SQRT(2*Y45^4/(COUNT(Y24:Y43)-1)+2*Y72^4/(COUNT(Y51:Y70)-1)))),-SQRT(-(Y72^2-Y45^2+NORMINV(0.5+$E$20/200,0,1)*SQRT(2*Y45^4/(COUNT(Y24:Y43)-1)+2*Y72^4/(COUNT(Y51:Y70)-1)))),SQRT(Y72^2-Y45^2+NORMINV(0.5+$E$20/200,0,1)*SQRT(2*Y45^4/(COUNT(Y24:Y43)-1)+2*Y72^4/(COUNT(Y51:Y70)-1))))</f>
        <v>#DIV/0!</v>
      </c>
      <c r="AB180" s="227"/>
      <c r="AC180" s="15" t="s">
        <v>20</v>
      </c>
      <c r="AD180" s="208">
        <f>IF(ISERROR(SQRT(AD72^2-AD45^2+NORMINV(0.5+$E$20/200,0,1)*SQRT(2*AD45^4/(COUNT(AD24:AD43)-1)+2*AD72^4/(COUNT(AD51:AD70)-1)))),-SQRT(-(AD72^2-AD45^2+NORMINV(0.5+$E$20/200,0,1)*SQRT(2*AD45^4/(COUNT(AD24:AD43)-1)+2*AD72^4/(COUNT(AD51:AD70)-1)))),SQRT(AD72^2-AD45^2+NORMINV(0.5+$E$20/200,0,1)*SQRT(2*AD45^4/(COUNT(AD24:AD43)-1)+2*AD72^4/(COUNT(AD51:AD70)-1))))</f>
        <v>30.340482984999028</v>
      </c>
      <c r="AG180" s="227"/>
      <c r="AH180" s="15" t="s">
        <v>20</v>
      </c>
      <c r="AI180" s="208">
        <f>IF(ISERROR(SQRT(AI72^2-AI45^2+NORMINV(0.5+$E$20/200,0,1)*SQRT(2*AI45^4/(COUNT(AI24:AI43)-1)+2*AI72^4/(COUNT(AI51:AI70)-1)))),-SQRT(-(AI72^2-AI45^2+NORMINV(0.5+$E$20/200,0,1)*SQRT(2*AI45^4/(COUNT(AI24:AI43)-1)+2*AI72^4/(COUNT(AI51:AI70)-1)))),SQRT(AI72^2-AI45^2+NORMINV(0.5+$E$20/200,0,1)*SQRT(2*AI45^4/(COUNT(AI24:AI43)-1)+2*AI72^4/(COUNT(AI51:AI70)-1))))</f>
        <v>17.758294769051517</v>
      </c>
      <c r="AJ180" s="208">
        <f>IF(ISERROR(SQRT(AJ72^2-AJ45^2+NORMINV(0.5+$E$20/200,0,1)*SQRT(2*AJ45^4/(COUNT(AJ24:AJ43)-1)+2*AJ72^4/(COUNT(AJ51:AJ70)-1)))),-SQRT(-(AJ72^2-AJ45^2+NORMINV(0.5+$E$20/200,0,1)*SQRT(2*AJ45^4/(COUNT(AJ24:AJ43)-1)+2*AJ72^4/(COUNT(AJ51:AJ70)-1)))),SQRT(AJ72^2-AJ45^2+NORMINV(0.5+$E$20/200,0,1)*SQRT(2*AJ45^4/(COUNT(AJ24:AJ43)-1)+2*AJ72^4/(COUNT(AJ51:AJ70)-1))))</f>
        <v>23.414900399248786</v>
      </c>
      <c r="AK180" s="208">
        <f>IF(ISERROR(SQRT(AK72^2-AK45^2+NORMINV(0.5+$E$20/200,0,1)*SQRT(2*AK45^4/(COUNT(AK24:AK43)-1)+2*AK72^4/(COUNT(AK51:AK70)-1)))),-SQRT(-(AK72^2-AK45^2+NORMINV(0.5+$E$20/200,0,1)*SQRT(2*AK45^4/(COUNT(AK24:AK43)-1)+2*AK72^4/(COUNT(AK51:AK70)-1)))),SQRT(AK72^2-AK45^2+NORMINV(0.5+$E$20/200,0,1)*SQRT(2*AK45^4/(COUNT(AK24:AK43)-1)+2*AK72^4/(COUNT(AK51:AK70)-1))))</f>
        <v>16.89753424843752</v>
      </c>
      <c r="AL180" s="208" t="e">
        <f>IF(ISERROR(SQRT(AL72^2-AL45^2+NORMINV(0.5+$E$20/200,0,1)*SQRT(2*AL45^4/(COUNT(AL24:AL43)-1)+2*AL72^4/(COUNT(AL51:AL70)-1)))),-SQRT(-(AL72^2-AL45^2+NORMINV(0.5+$E$20/200,0,1)*SQRT(2*AL45^4/(COUNT(AL24:AL43)-1)+2*AL72^4/(COUNT(AL51:AL70)-1)))),SQRT(AL72^2-AL45^2+NORMINV(0.5+$E$20/200,0,1)*SQRT(2*AL45^4/(COUNT(AL24:AL43)-1)+2*AL72^4/(COUNT(AL51:AL70)-1))))</f>
        <v>#DIV/0!</v>
      </c>
      <c r="AO180" s="227"/>
      <c r="AP180" s="15" t="s">
        <v>20</v>
      </c>
      <c r="AQ180" s="213">
        <f>IF(ISERROR(SQRT(AQ72^2-AQ45^2+NORMINV(0.5+$E$20/200,0,1)*SQRT(2*AQ45^4/(COUNT(AQ24:AQ43)-1)+2*AQ72^4/(COUNT(AQ51:AQ70)-1)))),-SQRT(-(AQ72^2-AQ45^2+NORMINV(0.5+$E$20/200,0,1)*SQRT(2*AQ45^4/(COUNT(AQ24:AQ43)-1)+2*AQ72^4/(COUNT(AQ51:AQ70)-1)))),SQRT(AQ72^2-AQ45^2+NORMINV(0.5+$E$20/200,0,1)*SQRT(2*AQ45^4/(COUNT(AQ24:AQ43)-1)+2*AQ72^4/(COUNT(AQ51:AQ70)-1))))</f>
        <v>0.3418675480880338</v>
      </c>
      <c r="AT180" s="227"/>
      <c r="AU180" s="15" t="s">
        <v>20</v>
      </c>
      <c r="AV180" s="213">
        <f>IF(ISERROR(SQRT(AV72^2-AV45^2+NORMINV(0.5+$E$20/200,0,1)*SQRT(2*AV45^4/(COUNT(AV24:AV43)-1)+2*AV72^4/(COUNT(AV51:AV70)-1)))),-SQRT(-(AV72^2-AV45^2+NORMINV(0.5+$E$20/200,0,1)*SQRT(2*AV45^4/(COUNT(AV24:AV43)-1)+2*AV72^4/(COUNT(AV51:AV70)-1)))),SQRT(AV72^2-AV45^2+NORMINV(0.5+$E$20/200,0,1)*SQRT(2*AV45^4/(COUNT(AV24:AV43)-1)+2*AV72^4/(COUNT(AV51:AV70)-1))))</f>
        <v>0.18457839295055795</v>
      </c>
      <c r="AW180" s="213">
        <f>IF(ISERROR(SQRT(AW72^2-AW45^2+NORMINV(0.5+$E$20/200,0,1)*SQRT(2*AW45^4/(COUNT(AW24:AW43)-1)+2*AW72^4/(COUNT(AW51:AW70)-1)))),-SQRT(-(AW72^2-AW45^2+NORMINV(0.5+$E$20/200,0,1)*SQRT(2*AW45^4/(COUNT(AW24:AW43)-1)+2*AW72^4/(COUNT(AW51:AW70)-1)))),SQRT(AW72^2-AW45^2+NORMINV(0.5+$E$20/200,0,1)*SQRT(2*AW45^4/(COUNT(AW24:AW43)-1)+2*AW72^4/(COUNT(AW51:AW70)-1))))</f>
        <v>0.22154707412046146</v>
      </c>
      <c r="AX180" s="213">
        <f>IF(ISERROR(SQRT(AX72^2-AX45^2+NORMINV(0.5+$E$20/200,0,1)*SQRT(2*AX45^4/(COUNT(AX24:AX43)-1)+2*AX72^4/(COUNT(AX51:AX70)-1)))),-SQRT(-(AX72^2-AX45^2+NORMINV(0.5+$E$20/200,0,1)*SQRT(2*AX45^4/(COUNT(AX24:AX43)-1)+2*AX72^4/(COUNT(AX51:AX70)-1)))),SQRT(AX72^2-AX45^2+NORMINV(0.5+$E$20/200,0,1)*SQRT(2*AX45^4/(COUNT(AX24:AX43)-1)+2*AX72^4/(COUNT(AX51:AX70)-1))))</f>
        <v>0.20719417555717004</v>
      </c>
      <c r="AY180" s="213" t="e">
        <f>IF(ISERROR(SQRT(AY72^2-AY45^2+NORMINV(0.5+$E$20/200,0,1)*SQRT(2*AY45^4/(COUNT(AY24:AY43)-1)+2*AY72^4/(COUNT(AY51:AY70)-1)))),-SQRT(-(AY72^2-AY45^2+NORMINV(0.5+$E$20/200,0,1)*SQRT(2*AY45^4/(COUNT(AY24:AY43)-1)+2*AY72^4/(COUNT(AY51:AY70)-1)))),SQRT(AY72^2-AY45^2+NORMINV(0.5+$E$20/200,0,1)*SQRT(2*AY45^4/(COUNT(AY24:AY43)-1)+2*AY72^4/(COUNT(AY51:AY70)-1))))</f>
        <v>#DIV/0!</v>
      </c>
      <c r="BB180" s="227"/>
      <c r="BC180" s="15" t="s">
        <v>20</v>
      </c>
      <c r="BD180" s="218">
        <f>IF(ISERROR(SQRT(BD72^2-BD45^2+NORMINV(0.5+$E$20/200,0,1)*SQRT(2*BD45^4/(COUNT(BD24:BD43)-1)+2*BD72^4/(COUNT(BD51:BD70)-1)))),-SQRT(-(BD72^2-BD45^2+NORMINV(0.5+$E$20/200,0,1)*SQRT(2*BD45^4/(COUNT(BD24:BD43)-1)+2*BD72^4/(COUNT(BD51:BD70)-1)))),SQRT(BD72^2-BD45^2+NORMINV(0.5+$E$20/200,0,1)*SQRT(2*BD45^4/(COUNT(BD24:BD43)-1)+2*BD72^4/(COUNT(BD51:BD70)-1))))</f>
        <v>0.03628042265322222</v>
      </c>
      <c r="BG180" s="227"/>
      <c r="BH180" s="15" t="s">
        <v>20</v>
      </c>
      <c r="BI180" s="218">
        <f>IF(ISERROR(SQRT(BI72^2-BI45^2+NORMINV(0.5+$E$20/200,0,1)*SQRT(2*BI45^4/(COUNT(BI24:BI43)-1)+2*BI72^4/(COUNT(BI51:BI70)-1)))),-SQRT(-(BI72^2-BI45^2+NORMINV(0.5+$E$20/200,0,1)*SQRT(2*BI45^4/(COUNT(BI24:BI43)-1)+2*BI72^4/(COUNT(BI51:BI70)-1)))),SQRT(BI72^2-BI45^2+NORMINV(0.5+$E$20/200,0,1)*SQRT(2*BI45^4/(COUNT(BI24:BI43)-1)+2*BI72^4/(COUNT(BI51:BI70)-1))))</f>
        <v>0.019628187205654832</v>
      </c>
      <c r="BJ180" s="218">
        <f>IF(ISERROR(SQRT(BJ72^2-BJ45^2+NORMINV(0.5+$E$20/200,0,1)*SQRT(2*BJ45^4/(COUNT(BJ24:BJ43)-1)+2*BJ72^4/(COUNT(BJ51:BJ70)-1)))),-SQRT(-(BJ72^2-BJ45^2+NORMINV(0.5+$E$20/200,0,1)*SQRT(2*BJ45^4/(COUNT(BJ24:BJ43)-1)+2*BJ72^4/(COUNT(BJ51:BJ70)-1)))),SQRT(BJ72^2-BJ45^2+NORMINV(0.5+$E$20/200,0,1)*SQRT(2*BJ45^4/(COUNT(BJ24:BJ43)-1)+2*BJ72^4/(COUNT(BJ51:BJ70)-1))))</f>
        <v>0.023462773129810786</v>
      </c>
      <c r="BK180" s="218">
        <f>IF(ISERROR(SQRT(BK72^2-BK45^2+NORMINV(0.5+$E$20/200,0,1)*SQRT(2*BK45^4/(COUNT(BK24:BK43)-1)+2*BK72^4/(COUNT(BK51:BK70)-1)))),-SQRT(-(BK72^2-BK45^2+NORMINV(0.5+$E$20/200,0,1)*SQRT(2*BK45^4/(COUNT(BK24:BK43)-1)+2*BK72^4/(COUNT(BK51:BK70)-1)))),SQRT(BK72^2-BK45^2+NORMINV(0.5+$E$20/200,0,1)*SQRT(2*BK45^4/(COUNT(BK24:BK43)-1)+2*BK72^4/(COUNT(BK51:BK70)-1))))</f>
        <v>0.022136042457933526</v>
      </c>
      <c r="BL180" s="218" t="e">
        <f>IF(ISERROR(SQRT(BL72^2-BL45^2+NORMINV(0.5+$E$20/200,0,1)*SQRT(2*BL45^4/(COUNT(BL24:BL43)-1)+2*BL72^4/(COUNT(BL51:BL70)-1)))),-SQRT(-(BL72^2-BL45^2+NORMINV(0.5+$E$20/200,0,1)*SQRT(2*BL45^4/(COUNT(BL24:BL43)-1)+2*BL72^4/(COUNT(BL51:BL70)-1)))),SQRT(BL72^2-BL45^2+NORMINV(0.5+$E$20/200,0,1)*SQRT(2*BL45^4/(COUNT(BL24:BL43)-1)+2*BL72^4/(COUNT(BL51:BL70)-1))))</f>
        <v>#DIV/0!</v>
      </c>
    </row>
    <row r="181" spans="5:54" ht="12.75">
      <c r="E181" s="27"/>
      <c r="F181" s="132"/>
      <c r="G181" s="27"/>
      <c r="O181" s="119" t="s">
        <v>10</v>
      </c>
      <c r="AB181" s="81" t="s">
        <v>124</v>
      </c>
      <c r="AO181" s="81" t="s">
        <v>110</v>
      </c>
      <c r="BB181" s="119" t="s">
        <v>128</v>
      </c>
    </row>
    <row r="182" spans="5:7" ht="12.75">
      <c r="E182" s="27"/>
      <c r="F182" s="27"/>
      <c r="G182" s="34"/>
    </row>
    <row r="183" spans="5:56" ht="12.75" customHeight="1">
      <c r="E183" s="27"/>
      <c r="F183" s="27"/>
      <c r="G183" s="132"/>
      <c r="O183" s="278" t="s">
        <v>100</v>
      </c>
      <c r="P183" s="279"/>
      <c r="Q183" s="143" t="str">
        <f>Q23</f>
        <v>Pre</v>
      </c>
      <c r="S183" s="179"/>
      <c r="AB183" s="278" t="s">
        <v>100</v>
      </c>
      <c r="AC183" s="279"/>
      <c r="AD183" s="143" t="str">
        <f>AD23</f>
        <v>Pre</v>
      </c>
      <c r="AO183" s="278" t="s">
        <v>100</v>
      </c>
      <c r="AP183" s="279"/>
      <c r="AQ183" s="143" t="str">
        <f>AQ23</f>
        <v>Pre</v>
      </c>
      <c r="BB183" s="278" t="s">
        <v>100</v>
      </c>
      <c r="BC183" s="279"/>
      <c r="BD183" s="143" t="str">
        <f>BD23</f>
        <v>Pre</v>
      </c>
    </row>
    <row r="184" spans="5:56" ht="12.75">
      <c r="E184" s="134"/>
      <c r="F184" s="27"/>
      <c r="G184" s="27"/>
      <c r="O184" s="25"/>
      <c r="P184" s="43" t="s">
        <v>97</v>
      </c>
      <c r="Q184" s="84">
        <f>Q72/Q45</f>
        <v>1.2687344916150034</v>
      </c>
      <c r="S184" s="10"/>
      <c r="AB184" s="25"/>
      <c r="AC184" s="43" t="s">
        <v>97</v>
      </c>
      <c r="AD184" s="84">
        <f>AD72/AD45</f>
        <v>1.1626189126046864</v>
      </c>
      <c r="AO184" s="25"/>
      <c r="AP184" s="43" t="s">
        <v>97</v>
      </c>
      <c r="AQ184" s="84">
        <f>AQ72/AQ45</f>
        <v>1.2248843188183163</v>
      </c>
      <c r="BB184" s="25"/>
      <c r="BC184" s="43" t="s">
        <v>97</v>
      </c>
      <c r="BD184" s="84">
        <f>BD72/BD45</f>
        <v>1.219695689898366</v>
      </c>
    </row>
    <row r="185" spans="5:56" ht="12.75">
      <c r="E185" s="27"/>
      <c r="F185" s="27"/>
      <c r="G185" s="27"/>
      <c r="O185" s="234" t="str">
        <f>CONCATENATE(TEXT($E$20,"0"),"% confidence
limits")</f>
        <v>90% confidence
limits</v>
      </c>
      <c r="P185" s="26" t="s">
        <v>19</v>
      </c>
      <c r="Q185" s="85">
        <f>SQRT(FINV((1-(100-$E$20)/100/2),COUNT(Q24:Q43)-1,COUNT(Q51:Q70)-1))*Q184</f>
        <v>0.8616200543686456</v>
      </c>
      <c r="S185" s="10"/>
      <c r="AB185" s="234" t="str">
        <f>CONCATENATE(TEXT($E$20,"0"),"% confidence
limits")</f>
        <v>90% confidence
limits</v>
      </c>
      <c r="AC185" s="26" t="s">
        <v>19</v>
      </c>
      <c r="AD185" s="85">
        <f>SQRT(FINV((1-(100-$E$20)/100/2),COUNT(AD24:AD43)-1,COUNT(AD51:AD70)-1))*AD184</f>
        <v>0.789555086039579</v>
      </c>
      <c r="AO185" s="234" t="str">
        <f>CONCATENATE(TEXT($E$20,"0"),"% confidence
limits")</f>
        <v>90% confidence
limits</v>
      </c>
      <c r="AP185" s="26" t="s">
        <v>19</v>
      </c>
      <c r="AQ185" s="85">
        <f>SQRT(FINV((1-(100-$E$20)/100/2),COUNT(AQ24:AQ43)-1,COUNT(AQ51:AQ70)-1))*AQ184</f>
        <v>0.8318406257183989</v>
      </c>
      <c r="BB185" s="234" t="str">
        <f>CONCATENATE(TEXT($E$20,"0"),"% confidence
limits")</f>
        <v>90% confidence
limits</v>
      </c>
      <c r="BC185" s="26" t="s">
        <v>19</v>
      </c>
      <c r="BD185" s="85">
        <f>SQRT(FINV((1-(100-$E$20)/100/2),COUNT(BD24:BD43)-1,COUNT(BD51:BD70)-1))*BD184</f>
        <v>0.8283169359616749</v>
      </c>
    </row>
    <row r="186" spans="5:56" ht="12.75">
      <c r="E186" s="27"/>
      <c r="F186" s="27"/>
      <c r="G186" s="27"/>
      <c r="O186" s="276"/>
      <c r="P186" s="15" t="s">
        <v>20</v>
      </c>
      <c r="Q186" s="86">
        <f>SQRT(FINV((100-$E$20)/100/2,COUNT(Q24:Q43)-1,COUNT(Q51:Q70)-1))*Q184</f>
        <v>1.868208665349249</v>
      </c>
      <c r="S186" s="10"/>
      <c r="AB186" s="276"/>
      <c r="AC186" s="15" t="s">
        <v>20</v>
      </c>
      <c r="AD186" s="86">
        <f>SQRT(FINV((100-$E$20)/100/2,COUNT(AD24:AD43)-1,COUNT(AD51:AD70)-1))*AD184</f>
        <v>1.7119537155974889</v>
      </c>
      <c r="AO186" s="276"/>
      <c r="AP186" s="15" t="s">
        <v>20</v>
      </c>
      <c r="AQ186" s="86">
        <f>SQRT(FINV((100-$E$20)/100/2,COUNT(AQ24:AQ43)-1,COUNT(AQ51:AQ70)-1))*AQ184</f>
        <v>1.803639385222283</v>
      </c>
      <c r="BB186" s="276"/>
      <c r="BC186" s="15" t="s">
        <v>20</v>
      </c>
      <c r="BD186" s="86">
        <f>SQRT(FINV((100-$E$20)/100/2,COUNT(BD24:BD43)-1,COUNT(BD51:BD70)-1))*BD184</f>
        <v>1.7959991408893698</v>
      </c>
    </row>
    <row r="187" spans="5:56" ht="12.75">
      <c r="E187" s="27"/>
      <c r="F187" s="27"/>
      <c r="G187" s="27"/>
      <c r="O187" s="277"/>
      <c r="P187" s="16" t="s">
        <v>21</v>
      </c>
      <c r="Q187" s="84">
        <f>SQRT(Q186/Q185)</f>
        <v>1.4724982649404086</v>
      </c>
      <c r="S187" s="10"/>
      <c r="AB187" s="277"/>
      <c r="AC187" s="16" t="s">
        <v>21</v>
      </c>
      <c r="AD187" s="84">
        <f>SQRT(AD186/AD185)</f>
        <v>1.4724982649404086</v>
      </c>
      <c r="AO187" s="277"/>
      <c r="AP187" s="16" t="s">
        <v>21</v>
      </c>
      <c r="AQ187" s="84">
        <f>SQRT(AQ186/AQ185)</f>
        <v>1.4724982649404086</v>
      </c>
      <c r="BB187" s="277"/>
      <c r="BC187" s="16" t="s">
        <v>21</v>
      </c>
      <c r="BD187" s="84">
        <f>SQRT(BD186/BD185)</f>
        <v>1.4724982649404086</v>
      </c>
    </row>
    <row r="188" spans="5:56" ht="12.75" customHeight="1">
      <c r="E188" s="27"/>
      <c r="F188" s="27"/>
      <c r="G188" s="27"/>
      <c r="O188" s="233" t="s">
        <v>101</v>
      </c>
      <c r="P188" s="151" t="s">
        <v>102</v>
      </c>
      <c r="Q188" s="150">
        <v>1.15</v>
      </c>
      <c r="S188" s="10"/>
      <c r="AB188" s="233" t="s">
        <v>101</v>
      </c>
      <c r="AC188" s="151" t="s">
        <v>102</v>
      </c>
      <c r="AD188" s="150">
        <v>1.15</v>
      </c>
      <c r="AO188" s="233" t="s">
        <v>101</v>
      </c>
      <c r="AP188" s="151" t="s">
        <v>102</v>
      </c>
      <c r="AQ188" s="150">
        <v>1.15</v>
      </c>
      <c r="BB188" s="233" t="s">
        <v>101</v>
      </c>
      <c r="BC188" s="151" t="s">
        <v>102</v>
      </c>
      <c r="BD188" s="150">
        <v>1.15</v>
      </c>
    </row>
    <row r="189" spans="5:56" ht="12.75">
      <c r="E189" s="27"/>
      <c r="F189" s="27"/>
      <c r="G189" s="27"/>
      <c r="O189" s="234"/>
      <c r="P189" s="151" t="s">
        <v>103</v>
      </c>
      <c r="Q189" s="150">
        <f>1/Q188</f>
        <v>0.8695652173913044</v>
      </c>
      <c r="S189" s="10"/>
      <c r="AB189" s="234"/>
      <c r="AC189" s="151" t="s">
        <v>103</v>
      </c>
      <c r="AD189" s="150">
        <f>1/AD188</f>
        <v>0.8695652173913044</v>
      </c>
      <c r="AO189" s="234"/>
      <c r="AP189" s="151" t="s">
        <v>103</v>
      </c>
      <c r="AQ189" s="150">
        <f>1/AQ188</f>
        <v>0.8695652173913044</v>
      </c>
      <c r="BB189" s="234"/>
      <c r="BC189" s="151" t="s">
        <v>103</v>
      </c>
      <c r="BD189" s="150">
        <f>1/BD188</f>
        <v>0.8695652173913044</v>
      </c>
    </row>
    <row r="190" spans="5:56" ht="12.75">
      <c r="E190" s="149"/>
      <c r="F190" s="27"/>
      <c r="G190" s="27"/>
      <c r="O190" s="233" t="s">
        <v>104</v>
      </c>
      <c r="P190" s="287" t="s">
        <v>106</v>
      </c>
      <c r="Q190" s="99">
        <f>100*FDIST(1/Q184^2*Q188^2,COUNT(Q24:Q43)-1,COUNT(Q51:Q70)-1)</f>
        <v>66.36210187305689</v>
      </c>
      <c r="AB190" s="233" t="s">
        <v>104</v>
      </c>
      <c r="AC190" s="287" t="s">
        <v>106</v>
      </c>
      <c r="AD190" s="99">
        <f>100*FDIST(1/AD184^2*AD188^2,COUNT(AD24:AD43)-1,COUNT(AD51:AD70)-1)</f>
        <v>51.87224851169632</v>
      </c>
      <c r="AO190" s="233" t="s">
        <v>104</v>
      </c>
      <c r="AP190" s="287" t="s">
        <v>106</v>
      </c>
      <c r="AQ190" s="99">
        <f>100*FDIST(1/AQ184^2*AQ188^2,COUNT(AQ24:AQ43)-1,COUNT(AQ51:AQ70)-1)</f>
        <v>60.69188053509544</v>
      </c>
      <c r="BB190" s="233" t="s">
        <v>104</v>
      </c>
      <c r="BC190" s="287" t="s">
        <v>106</v>
      </c>
      <c r="BD190" s="99">
        <f>100*FDIST(1/BD184^2*BD188^2,COUNT(BD24:BD43)-1,COUNT(BD51:BD70)-1)</f>
        <v>59.98860597648108</v>
      </c>
    </row>
    <row r="191" spans="5:56" ht="24.75" customHeight="1">
      <c r="E191" s="148"/>
      <c r="F191" s="27"/>
      <c r="G191" s="27"/>
      <c r="O191" s="234"/>
      <c r="P191" s="242"/>
      <c r="Q191" s="24" t="str">
        <f>IF(Q190&lt;1,"almost certainly not",IF(Q190&lt;5,"very unlikely",IF(Q190&lt;25,"unlikely, probably not",IF(Q190&lt;75,"possibly, may (not)",IF(Q190&lt;95,"likely, probable",IF(Q190&lt;99,"very likely","almost certainly"))))))</f>
        <v>possibly, may (not)</v>
      </c>
      <c r="AB191" s="234"/>
      <c r="AC191" s="242"/>
      <c r="AD191" s="24" t="str">
        <f>IF(AD190&lt;1,"almost certainly not",IF(AD190&lt;5,"very unlikely",IF(AD190&lt;25,"unlikely, probably not",IF(AD190&lt;75,"possibly, may (not)",IF(AD190&lt;95,"likely, probable",IF(AD190&lt;99,"very likely","almost certainly"))))))</f>
        <v>possibly, may (not)</v>
      </c>
      <c r="AO191" s="234"/>
      <c r="AP191" s="242"/>
      <c r="AQ191" s="24" t="str">
        <f>IF(AQ190&lt;1,"almost certainly not",IF(AQ190&lt;5,"very unlikely",IF(AQ190&lt;25,"unlikely, probably not",IF(AQ190&lt;75,"possibly, may (not)",IF(AQ190&lt;95,"likely, probable",IF(AQ190&lt;99,"very likely","almost certainly"))))))</f>
        <v>possibly, may (not)</v>
      </c>
      <c r="BB191" s="234"/>
      <c r="BC191" s="242"/>
      <c r="BD191" s="24" t="str">
        <f>IF(BD190&lt;1,"almost certainly not",IF(BD190&lt;5,"very unlikely",IF(BD190&lt;25,"unlikely, probably not",IF(BD190&lt;75,"possibly, may (not)",IF(BD190&lt;95,"likely, probable",IF(BD190&lt;99,"very likely","almost certainly"))))))</f>
        <v>possibly, may (not)</v>
      </c>
    </row>
    <row r="192" spans="5:56" ht="12.75">
      <c r="E192" s="149"/>
      <c r="F192" s="27"/>
      <c r="G192" s="27"/>
      <c r="O192" s="234"/>
      <c r="P192" s="238" t="s">
        <v>23</v>
      </c>
      <c r="Q192" s="99">
        <f>100-Q190-Q194</f>
        <v>28.232080940703653</v>
      </c>
      <c r="AB192" s="234"/>
      <c r="AC192" s="238" t="s">
        <v>23</v>
      </c>
      <c r="AD192" s="99">
        <f>100-AD190-AD194</f>
        <v>37.396371566097734</v>
      </c>
      <c r="AO192" s="234"/>
      <c r="AP192" s="238" t="s">
        <v>23</v>
      </c>
      <c r="AQ192" s="99">
        <f>100-AQ190-AQ194</f>
        <v>32.09393878643147</v>
      </c>
      <c r="BB192" s="234"/>
      <c r="BC192" s="238" t="s">
        <v>23</v>
      </c>
      <c r="BD192" s="99">
        <f>100-BD190-BD194</f>
        <v>32.549972220949115</v>
      </c>
    </row>
    <row r="193" spans="5:59" ht="26.25" customHeight="1">
      <c r="E193" s="148"/>
      <c r="F193" s="27"/>
      <c r="O193" s="234"/>
      <c r="P193" s="239"/>
      <c r="Q193" s="24" t="str">
        <f>IF(Q192&lt;1,"almost certainly not",IF(Q192&lt;5,"very unlikely",IF(Q192&lt;25,"unlikely, probably not",IF(Q192&lt;75,"possibly, may (not)",IF(Q192&lt;95,"likely, probable",IF(Q192&lt;99,"very likely","almost certainly"))))))</f>
        <v>possibly, may (not)</v>
      </c>
      <c r="T193" s="81" t="s">
        <v>10</v>
      </c>
      <c r="AB193" s="234"/>
      <c r="AC193" s="239"/>
      <c r="AD193" s="24" t="str">
        <f>IF(AD192&lt;1,"almost certainly not",IF(AD192&lt;5,"very unlikely",IF(AD192&lt;25,"unlikely, probably not",IF(AD192&lt;75,"possibly, may (not)",IF(AD192&lt;95,"likely, probable",IF(AD192&lt;99,"very likely","almost certainly"))))))</f>
        <v>possibly, may (not)</v>
      </c>
      <c r="AG193" s="81" t="s">
        <v>124</v>
      </c>
      <c r="AO193" s="234"/>
      <c r="AP193" s="239"/>
      <c r="AQ193" s="24" t="str">
        <f>IF(AQ192&lt;1,"almost certainly not",IF(AQ192&lt;5,"very unlikely",IF(AQ192&lt;25,"unlikely, probably not",IF(AQ192&lt;75,"possibly, may (not)",IF(AQ192&lt;95,"likely, probable",IF(AQ192&lt;99,"very likely","almost certainly"))))))</f>
        <v>possibly, may (not)</v>
      </c>
      <c r="AT193" s="81" t="s">
        <v>110</v>
      </c>
      <c r="BB193" s="234"/>
      <c r="BC193" s="239"/>
      <c r="BD193" s="24" t="str">
        <f>IF(BD192&lt;1,"almost certainly not",IF(BD192&lt;5,"very unlikely",IF(BD192&lt;25,"unlikely, probably not",IF(BD192&lt;75,"possibly, may (not)",IF(BD192&lt;95,"likely, probable",IF(BD192&lt;99,"very likely","almost certainly"))))))</f>
        <v>possibly, may (not)</v>
      </c>
      <c r="BG193" s="81" t="s">
        <v>128</v>
      </c>
    </row>
    <row r="194" spans="15:56" ht="12.75">
      <c r="O194" s="234"/>
      <c r="P194" s="286" t="s">
        <v>105</v>
      </c>
      <c r="Q194" s="99">
        <f>100-100*FDIST(1/Q184^2*Q189^2,COUNT(Q24:Q43)-1,COUNT(Q51:Q70)-1)</f>
        <v>5.40581718623946</v>
      </c>
      <c r="AB194" s="234"/>
      <c r="AC194" s="286" t="s">
        <v>105</v>
      </c>
      <c r="AD194" s="99">
        <f>100-100*FDIST(1/AD184^2*AD189^2,COUNT(AD24:AD43)-1,COUNT(AD51:AD70)-1)</f>
        <v>10.731379922205946</v>
      </c>
      <c r="AO194" s="234"/>
      <c r="AP194" s="286" t="s">
        <v>105</v>
      </c>
      <c r="AQ194" s="99">
        <f>100-100*FDIST(1/AQ184^2*AQ189^2,COUNT(AQ24:AQ43)-1,COUNT(AQ51:AQ70)-1)</f>
        <v>7.214180678473085</v>
      </c>
      <c r="BB194" s="234"/>
      <c r="BC194" s="286" t="s">
        <v>105</v>
      </c>
      <c r="BD194" s="99">
        <f>100-100*FDIST(1/BD184^2*BD189^2,COUNT(BD24:BD43)-1,COUNT(BD51:BD70)-1)</f>
        <v>7.461421802569802</v>
      </c>
    </row>
    <row r="195" spans="15:64" ht="27" customHeight="1">
      <c r="O195" s="235"/>
      <c r="P195" s="237"/>
      <c r="Q195" s="24" t="str">
        <f>IF(Q194&lt;1,"almost certainly not",IF(Q194&lt;5,"very unlikely",IF(Q194&lt;25,"unlikely, probably not",IF(Q194&lt;75,"possibly, may (not)",IF(Q194&lt;95,"likely, probable",IF(Q194&lt;99,"very likely","almost certainly"))))))</f>
        <v>unlikely, probably not</v>
      </c>
      <c r="T195" s="292" t="s">
        <v>158</v>
      </c>
      <c r="U195" s="293"/>
      <c r="V195" s="122" t="str">
        <f>V23</f>
        <v>Post1-Pre</v>
      </c>
      <c r="W195" s="122" t="str">
        <f>W23</f>
        <v>Post2-Pre</v>
      </c>
      <c r="X195" s="122" t="str">
        <f>X23</f>
        <v>Post2-Post1</v>
      </c>
      <c r="Y195" s="122" t="str">
        <f>Y23</f>
        <v>other effect</v>
      </c>
      <c r="AB195" s="235"/>
      <c r="AC195" s="237"/>
      <c r="AD195" s="24" t="str">
        <f>IF(AD194&lt;1,"almost certainly not",IF(AD194&lt;5,"very unlikely",IF(AD194&lt;25,"unlikely, probably not",IF(AD194&lt;75,"possibly, may (not)",IF(AD194&lt;95,"likely, probable",IF(AD194&lt;99,"very likely","almost certainly"))))))</f>
        <v>unlikely, probably not</v>
      </c>
      <c r="AG195" s="292" t="s">
        <v>158</v>
      </c>
      <c r="AH195" s="293"/>
      <c r="AI195" s="122" t="str">
        <f>AI23</f>
        <v>Post1-Pre</v>
      </c>
      <c r="AJ195" s="122" t="str">
        <f>AJ23</f>
        <v>Post2-Pre</v>
      </c>
      <c r="AK195" s="122" t="str">
        <f>AK23</f>
        <v>Post2-Post1</v>
      </c>
      <c r="AL195" s="122" t="str">
        <f>AL23</f>
        <v>other effect</v>
      </c>
      <c r="AO195" s="235"/>
      <c r="AP195" s="237"/>
      <c r="AQ195" s="24" t="str">
        <f>IF(AQ194&lt;1,"almost certainly not",IF(AQ194&lt;5,"very unlikely",IF(AQ194&lt;25,"unlikely, probably not",IF(AQ194&lt;75,"possibly, may (not)",IF(AQ194&lt;95,"likely, probable",IF(AQ194&lt;99,"very likely","almost certainly"))))))</f>
        <v>unlikely, probably not</v>
      </c>
      <c r="AT195" s="292" t="s">
        <v>158</v>
      </c>
      <c r="AU195" s="293"/>
      <c r="AV195" s="122" t="str">
        <f>AV23</f>
        <v>Post1-Pre</v>
      </c>
      <c r="AW195" s="122" t="str">
        <f>AW23</f>
        <v>Post2-Pre</v>
      </c>
      <c r="AX195" s="122" t="str">
        <f>AX23</f>
        <v>Post2-Post1</v>
      </c>
      <c r="AY195" s="122" t="str">
        <f>AY23</f>
        <v>other effect</v>
      </c>
      <c r="BB195" s="235"/>
      <c r="BC195" s="237"/>
      <c r="BD195" s="24" t="str">
        <f>IF(BD194&lt;1,"almost certainly not",IF(BD194&lt;5,"very unlikely",IF(BD194&lt;25,"unlikely, probably not",IF(BD194&lt;75,"possibly, may (not)",IF(BD194&lt;95,"likely, probable",IF(BD194&lt;99,"very likely","almost certainly"))))))</f>
        <v>unlikely, probably not</v>
      </c>
      <c r="BG195" s="292" t="s">
        <v>158</v>
      </c>
      <c r="BH195" s="293"/>
      <c r="BI195" s="122" t="str">
        <f>BI23</f>
        <v>Post1-Pre</v>
      </c>
      <c r="BJ195" s="122" t="str">
        <f>BJ23</f>
        <v>Post2-Pre</v>
      </c>
      <c r="BK195" s="122" t="str">
        <f>BK23</f>
        <v>Post2-Post1</v>
      </c>
      <c r="BL195" s="122" t="str">
        <f>BL23</f>
        <v>other effect</v>
      </c>
    </row>
    <row r="196" spans="20:64" ht="13.5" customHeight="1">
      <c r="T196" s="25"/>
      <c r="U196" s="29" t="s">
        <v>18</v>
      </c>
      <c r="V196" s="21">
        <f>$E$20</f>
        <v>90</v>
      </c>
      <c r="W196" s="21">
        <f>V196</f>
        <v>90</v>
      </c>
      <c r="X196" s="21">
        <f>W196</f>
        <v>90</v>
      </c>
      <c r="Y196" s="21">
        <f>X196</f>
        <v>90</v>
      </c>
      <c r="AG196" s="25"/>
      <c r="AH196" s="29" t="s">
        <v>18</v>
      </c>
      <c r="AI196" s="21">
        <f>$E$20</f>
        <v>90</v>
      </c>
      <c r="AJ196" s="21">
        <f>AI196</f>
        <v>90</v>
      </c>
      <c r="AK196" s="21">
        <f>AJ196</f>
        <v>90</v>
      </c>
      <c r="AL196" s="21">
        <f>AK196</f>
        <v>90</v>
      </c>
      <c r="AT196" s="25"/>
      <c r="AU196" s="29" t="s">
        <v>18</v>
      </c>
      <c r="AV196" s="21">
        <f>$E$20</f>
        <v>90</v>
      </c>
      <c r="AW196" s="21">
        <f>AV196</f>
        <v>90</v>
      </c>
      <c r="AX196" s="21">
        <f>AW196</f>
        <v>90</v>
      </c>
      <c r="AY196" s="21">
        <f>AX196</f>
        <v>90</v>
      </c>
      <c r="BG196" s="25"/>
      <c r="BH196" s="29" t="s">
        <v>18</v>
      </c>
      <c r="BI196" s="21">
        <f>$E$20</f>
        <v>90</v>
      </c>
      <c r="BJ196" s="21">
        <f>BI196</f>
        <v>90</v>
      </c>
      <c r="BK196" s="21">
        <f>BJ196</f>
        <v>90</v>
      </c>
      <c r="BL196" s="21">
        <f>BK196</f>
        <v>90</v>
      </c>
    </row>
    <row r="197" spans="20:64" ht="12.75">
      <c r="T197" s="25"/>
      <c r="U197" s="30" t="s">
        <v>30</v>
      </c>
      <c r="V197" s="23">
        <f>COUNT(V24:V43)-1</f>
        <v>19</v>
      </c>
      <c r="W197" s="23">
        <f>COUNT(W24:W43)-1</f>
        <v>18</v>
      </c>
      <c r="X197" s="23">
        <f>COUNT(X24:X43)-1</f>
        <v>18</v>
      </c>
      <c r="Y197" s="23">
        <f>COUNT(Y24:Y43)-1</f>
        <v>-1</v>
      </c>
      <c r="AG197" s="25"/>
      <c r="AH197" s="30" t="s">
        <v>30</v>
      </c>
      <c r="AI197" s="23">
        <f>COUNT(AI24:AI43)-1</f>
        <v>19</v>
      </c>
      <c r="AJ197" s="23">
        <f>COUNT(AJ24:AJ43)-1</f>
        <v>18</v>
      </c>
      <c r="AK197" s="23">
        <f>COUNT(AK24:AK43)-1</f>
        <v>18</v>
      </c>
      <c r="AL197" s="23">
        <f>COUNT(AL24:AL43)-1</f>
        <v>-1</v>
      </c>
      <c r="AT197" s="25"/>
      <c r="AU197" s="30" t="s">
        <v>30</v>
      </c>
      <c r="AV197" s="23">
        <f>COUNT(AV24:AV43)-1</f>
        <v>19</v>
      </c>
      <c r="AW197" s="23">
        <f>COUNT(AW24:AW43)-1</f>
        <v>18</v>
      </c>
      <c r="AX197" s="23">
        <f>COUNT(AX24:AX43)-1</f>
        <v>18</v>
      </c>
      <c r="AY197" s="23">
        <f>COUNT(AY24:AY43)-1</f>
        <v>-1</v>
      </c>
      <c r="BG197" s="25"/>
      <c r="BH197" s="30" t="s">
        <v>30</v>
      </c>
      <c r="BI197" s="23">
        <f>COUNT(BI24:BI43)-1</f>
        <v>19</v>
      </c>
      <c r="BJ197" s="23">
        <f>COUNT(BJ24:BJ43)-1</f>
        <v>18</v>
      </c>
      <c r="BK197" s="23">
        <f>COUNT(BK24:BK43)-1</f>
        <v>18</v>
      </c>
      <c r="BL197" s="23">
        <f>COUNT(BL24:BL43)-1</f>
        <v>-1</v>
      </c>
    </row>
    <row r="198" spans="20:64" ht="12.75" customHeight="1">
      <c r="T198" s="219" t="s">
        <v>151</v>
      </c>
      <c r="U198" s="220"/>
      <c r="V198" s="220"/>
      <c r="W198" s="220"/>
      <c r="X198" s="220"/>
      <c r="Y198" s="221"/>
      <c r="AG198" s="219" t="s">
        <v>183</v>
      </c>
      <c r="AH198" s="220"/>
      <c r="AI198" s="220"/>
      <c r="AJ198" s="220"/>
      <c r="AK198" s="220"/>
      <c r="AL198" s="221"/>
      <c r="AT198" s="219" t="s">
        <v>185</v>
      </c>
      <c r="AU198" s="220"/>
      <c r="AV198" s="220"/>
      <c r="AW198" s="220"/>
      <c r="AX198" s="220"/>
      <c r="AY198" s="221"/>
      <c r="BG198" s="219" t="s">
        <v>185</v>
      </c>
      <c r="BH198" s="220"/>
      <c r="BI198" s="220"/>
      <c r="BJ198" s="220"/>
      <c r="BK198" s="220"/>
      <c r="BL198" s="221"/>
    </row>
    <row r="199" spans="20:64" ht="13.5" customHeight="1">
      <c r="T199" s="25"/>
      <c r="U199" s="36" t="s">
        <v>152</v>
      </c>
      <c r="V199" s="188">
        <f aca="true" t="shared" si="95" ref="V199:Y201">100*EXP(V214/100)-100</f>
        <v>4.004707363359856</v>
      </c>
      <c r="W199" s="188">
        <f t="shared" si="95"/>
        <v>5.945212173066366</v>
      </c>
      <c r="X199" s="188">
        <f t="shared" si="95"/>
        <v>6.28315987090204</v>
      </c>
      <c r="Y199" s="188" t="e">
        <f t="shared" si="95"/>
        <v>#DIV/0!</v>
      </c>
      <c r="AG199" s="25"/>
      <c r="AH199" s="36" t="s">
        <v>184</v>
      </c>
      <c r="AI199" s="189">
        <f>(PERCENTILE(allraw,(AI133+AI209)/100)-PERCENTILE(allraw,(AI133-AI209)/100))/2</f>
        <v>0.3323212709561716</v>
      </c>
      <c r="AJ199" s="189">
        <f>(PERCENTILE(allraw,(AJ133+AJ209)/100)-PERCENTILE(allraw,(AJ133-AJ209)/100))/2</f>
        <v>0.543577600843375</v>
      </c>
      <c r="AK199" s="189">
        <f>(PERCENTILE(allraw,(AK133+AK209)/100)-PERCENTILE(allraw,(AK133-AK209)/100))/2</f>
        <v>0.6090992007335192</v>
      </c>
      <c r="AL199" s="189" t="e">
        <f>(PERCENTILE(allraw,(AL133+AL209)/100)-PERCENTILE(allraw,(AL133-AL209)/100))/2</f>
        <v>#DIV/0!</v>
      </c>
      <c r="AT199" s="25"/>
      <c r="AU199" s="36" t="s">
        <v>184</v>
      </c>
      <c r="AV199" s="189">
        <f>((SQRT(AV133)+AV209)^2-(SQRT(AV133)-AV209)^2)/2</f>
        <v>0.4644788772437698</v>
      </c>
      <c r="AW199" s="189">
        <f>((SQRT(AW133)+AW209)^2-(SQRT(AW133)-AW209)^2)/2</f>
        <v>0.7116067772403394</v>
      </c>
      <c r="AX199" s="189">
        <f>((SQRT(AX133)+AX209)^2-(SQRT(AX133)-AX209)^2)/2</f>
        <v>0.7325491919495333</v>
      </c>
      <c r="AY199" s="189" t="e">
        <f>((SQRT(AY133)+AY209)^2-(SQRT(AY133)-AY209)^2)/2</f>
        <v>#DIV/0!</v>
      </c>
      <c r="BG199" s="25"/>
      <c r="BH199" s="36" t="s">
        <v>184</v>
      </c>
      <c r="BI199" s="189">
        <f>(100*SIN((ASIN(SQRT(BI133/100))+BI209))^2-100*SIN((ASIN(SQRT(BI133/100))-BI209))^2)/2</f>
        <v>0.46438626278270245</v>
      </c>
      <c r="BJ199" s="189">
        <f>(100*SIN((ASIN(SQRT(BJ133/100))+BJ209))^2-100*SIN((ASIN(SQRT(BJ133/100))-BJ209))^2)/2</f>
        <v>0.7158939708605914</v>
      </c>
      <c r="BK199" s="189">
        <f>(100*SIN((ASIN(SQRT(BK133/100))+BK209))^2-100*SIN((ASIN(SQRT(BK133/100))-BK209))^2)/2</f>
        <v>0.73410038859629</v>
      </c>
      <c r="BL199" s="189" t="e">
        <f>(100*SIN((ASIN(SQRT(BL133/100))+BL209))^2-100*SIN((ASIN(SQRT(BL133/100))-BL209))^2)/2</f>
        <v>#DIV/0!</v>
      </c>
    </row>
    <row r="200" spans="20:64" ht="12.75">
      <c r="T200" s="226" t="str">
        <f>CONCATENATE(TEXT($E$20,"0"),"% confidence
limits")</f>
        <v>90% confidence
limits</v>
      </c>
      <c r="U200" s="51" t="s">
        <v>19</v>
      </c>
      <c r="V200" s="88">
        <f t="shared" si="95"/>
        <v>3.166527809972223</v>
      </c>
      <c r="W200" s="88">
        <f t="shared" si="95"/>
        <v>4.665780400367694</v>
      </c>
      <c r="X200" s="88">
        <f t="shared" si="95"/>
        <v>4.92931963546603</v>
      </c>
      <c r="Y200" s="88" t="e">
        <f t="shared" si="95"/>
        <v>#DIV/0!</v>
      </c>
      <c r="AG200" s="243" t="str">
        <f>CONCATENATE(TEXT($E$20,"0"),"% confidence
limits")</f>
        <v>90% confidence
limits</v>
      </c>
      <c r="AH200" s="26" t="s">
        <v>19</v>
      </c>
      <c r="AI200" s="85">
        <f>SQRT(AI197*AI199^2/CHIINV((100-AI196)/100/2,AI197))</f>
        <v>0.263838436981467</v>
      </c>
      <c r="AJ200" s="85">
        <f>SQRT(AJ197*AJ199^2/CHIINV((100-AJ196)/100/2,AJ197))</f>
        <v>0.4292195752150031</v>
      </c>
      <c r="AK200" s="85">
        <f>SQRT(AK197*AK199^2/CHIINV((100-AK196)/100/2,AK197))</f>
        <v>0.48095672043331456</v>
      </c>
      <c r="AL200" s="85" t="e">
        <f>SQRT(AL197*AL199^2/CHIINV((100-AL196)/100/2,AL197))</f>
        <v>#DIV/0!</v>
      </c>
      <c r="AT200" s="243" t="str">
        <f>CONCATENATE(TEXT($E$20,"0"),"% confidence
limits")</f>
        <v>90% confidence
limits</v>
      </c>
      <c r="AU200" s="26" t="s">
        <v>19</v>
      </c>
      <c r="AV200" s="85">
        <f>SQRT(AV197*AV199^2/CHIINV((100-AV196)/100/2,AV197))</f>
        <v>0.36876177269755667</v>
      </c>
      <c r="AW200" s="85">
        <f>SQRT(AW197*AW199^2/CHIINV((100-AW196)/100/2,AW197))</f>
        <v>0.5618987209431081</v>
      </c>
      <c r="AX200" s="85">
        <f>SQRT(AX197*AX199^2/CHIINV((100-AX196)/100/2,AX197))</f>
        <v>0.5784352638976192</v>
      </c>
      <c r="AY200" s="85" t="e">
        <f>SQRT(AY197*AY199^2/CHIINV((100-AY196)/100/2,AY197))</f>
        <v>#DIV/0!</v>
      </c>
      <c r="BG200" s="243" t="str">
        <f>CONCATENATE(TEXT($E$20,"0"),"% confidence
limits")</f>
        <v>90% confidence
limits</v>
      </c>
      <c r="BH200" s="26" t="s">
        <v>19</v>
      </c>
      <c r="BI200" s="85">
        <f>SQRT(BI197*BI199^2/CHIINV((100-BI196)/100/2,BI197))</f>
        <v>0.36868824368576764</v>
      </c>
      <c r="BJ200" s="85">
        <f>SQRT(BJ197*BJ199^2/CHIINV((100-BJ196)/100/2,BJ197))</f>
        <v>0.5652839734290347</v>
      </c>
      <c r="BK200" s="85">
        <f>SQRT(BK197*BK199^2/CHIINV((100-BK196)/100/2,BK197))</f>
        <v>0.5796601193088115</v>
      </c>
      <c r="BL200" s="85" t="e">
        <f>SQRT(BL197*BL199^2/CHIINV((100-BL196)/100/2,BL197))</f>
        <v>#DIV/0!</v>
      </c>
    </row>
    <row r="201" spans="20:64" ht="12.75" customHeight="1">
      <c r="T201" s="294"/>
      <c r="U201" s="51" t="s">
        <v>20</v>
      </c>
      <c r="V201" s="93">
        <f t="shared" si="95"/>
        <v>5.528462692651587</v>
      </c>
      <c r="W201" s="93">
        <f t="shared" si="95"/>
        <v>8.324107510382433</v>
      </c>
      <c r="X201" s="93">
        <f t="shared" si="95"/>
        <v>8.802795410973403</v>
      </c>
      <c r="Y201" s="93" t="e">
        <f t="shared" si="95"/>
        <v>#DIV/0!</v>
      </c>
      <c r="AG201" s="244"/>
      <c r="AH201" s="15" t="s">
        <v>20</v>
      </c>
      <c r="AI201" s="86">
        <f>SQRT(AI197*AI199^2/CHIINV(1-(100-AI196)/100/2,AI197))</f>
        <v>0.45541668044290684</v>
      </c>
      <c r="AJ201" s="86">
        <f>SQRT(AJ197*AJ199^2/CHIINV(1-(100-AJ196)/100/2,AJ197))</f>
        <v>0.7525834301385219</v>
      </c>
      <c r="AK201" s="86">
        <f>SQRT(AK197*AK199^2/CHIINV(1-(100-AK196)/100/2,AK197))</f>
        <v>0.8432981143289336</v>
      </c>
      <c r="AL201" s="86" t="e">
        <f>SQRT(AL197*AL199^2/CHIINV(1-(100-AL196)/100/2,AL197))</f>
        <v>#DIV/0!</v>
      </c>
      <c r="AT201" s="244"/>
      <c r="AU201" s="15" t="s">
        <v>20</v>
      </c>
      <c r="AV201" s="86">
        <f>SQRT(AV197*AV199^2/CHIINV(1-(100-AV196)/100/2,AV197))</f>
        <v>0.6365269000132827</v>
      </c>
      <c r="AW201" s="86">
        <f>SQRT(AW197*AW199^2/CHIINV(1-(100-AW196)/100/2,AW197))</f>
        <v>0.9852198995956489</v>
      </c>
      <c r="AX201" s="86">
        <f>SQRT(AX197*AX199^2/CHIINV(1-(100-AX196)/100/2,AX197))</f>
        <v>1.0142146820752345</v>
      </c>
      <c r="AY201" s="86" t="e">
        <f>SQRT(AY197*AY199^2/CHIINV(1-(100-AY196)/100/2,AY197))</f>
        <v>#DIV/0!</v>
      </c>
      <c r="BG201" s="244"/>
      <c r="BH201" s="15" t="s">
        <v>20</v>
      </c>
      <c r="BI201" s="86">
        <f>SQRT(BI197*BI199^2/CHIINV(1-(100-BI196)/100/2,BI197))</f>
        <v>0.6363999801495649</v>
      </c>
      <c r="BJ201" s="86">
        <f>SQRT(BJ197*BJ199^2/CHIINV(1-(100-BJ196)/100/2,BJ197))</f>
        <v>0.9911555210697334</v>
      </c>
      <c r="BK201" s="86">
        <f>SQRT(BK197*BK199^2/CHIINV(1-(100-BK196)/100/2,BK197))</f>
        <v>1.0163623145226057</v>
      </c>
      <c r="BL201" s="86" t="e">
        <f>SQRT(BL197*BL199^2/CHIINV(1-(100-BL196)/100/2,BL197))</f>
        <v>#DIV/0!</v>
      </c>
    </row>
    <row r="202" spans="20:64" ht="12.75" customHeight="1">
      <c r="T202" s="183"/>
      <c r="U202" s="16" t="s">
        <v>153</v>
      </c>
      <c r="V202" s="84">
        <f>SQRT(V201/V200)</f>
        <v>1.3213276963374343</v>
      </c>
      <c r="W202" s="84">
        <f>SQRT(W201/W200)</f>
        <v>1.3356931328188961</v>
      </c>
      <c r="X202" s="84">
        <f>SQRT(X201/X200)</f>
        <v>1.336339525809169</v>
      </c>
      <c r="Y202" s="84" t="e">
        <f>SQRT(Y201/Y200)</f>
        <v>#DIV/0!</v>
      </c>
      <c r="AG202" s="245"/>
      <c r="AH202" s="16" t="s">
        <v>43</v>
      </c>
      <c r="AI202" s="84">
        <f>SQRT(AI201/AI200)</f>
        <v>1.31381868462945</v>
      </c>
      <c r="AJ202" s="84">
        <f>SQRT(AJ201/AJ200)</f>
        <v>1.324151161591075</v>
      </c>
      <c r="AK202" s="84">
        <f>SQRT(AK201/AK200)</f>
        <v>1.324151161591075</v>
      </c>
      <c r="AL202" s="84" t="e">
        <f>SQRT(AL201/AL200)</f>
        <v>#DIV/0!</v>
      </c>
      <c r="AT202" s="245"/>
      <c r="AU202" s="16" t="s">
        <v>43</v>
      </c>
      <c r="AV202" s="84">
        <f>SQRT(AV201/AV200)</f>
        <v>1.31381868462945</v>
      </c>
      <c r="AW202" s="84">
        <f>SQRT(AW201/AW200)</f>
        <v>1.324151161591075</v>
      </c>
      <c r="AX202" s="84">
        <f>SQRT(AX201/AX200)</f>
        <v>1.3241511615910753</v>
      </c>
      <c r="AY202" s="84" t="e">
        <f>SQRT(AY201/AY200)</f>
        <v>#DIV/0!</v>
      </c>
      <c r="BG202" s="245"/>
      <c r="BH202" s="16" t="s">
        <v>43</v>
      </c>
      <c r="BI202" s="84">
        <f>SQRT(BI201/BI200)</f>
        <v>1.31381868462945</v>
      </c>
      <c r="BJ202" s="84">
        <f>SQRT(BJ201/BJ200)</f>
        <v>1.324151161591075</v>
      </c>
      <c r="BK202" s="84">
        <f>SQRT(BK201/BK200)</f>
        <v>1.324151161591075</v>
      </c>
      <c r="BL202" s="84" t="e">
        <f>SQRT(BL201/BL200)</f>
        <v>#DIV/0!</v>
      </c>
    </row>
    <row r="203" spans="20:64" ht="12.75" customHeight="1">
      <c r="T203" s="219" t="s">
        <v>154</v>
      </c>
      <c r="U203" s="220"/>
      <c r="V203" s="220"/>
      <c r="W203" s="220"/>
      <c r="X203" s="220"/>
      <c r="Y203" s="221"/>
      <c r="AG203" s="219" t="s">
        <v>156</v>
      </c>
      <c r="AH203" s="220"/>
      <c r="AI203" s="220"/>
      <c r="AJ203" s="220"/>
      <c r="AK203" s="220"/>
      <c r="AL203" s="221"/>
      <c r="AT203" s="219" t="s">
        <v>156</v>
      </c>
      <c r="AU203" s="220"/>
      <c r="AV203" s="220"/>
      <c r="AW203" s="220"/>
      <c r="AX203" s="220"/>
      <c r="AY203" s="221"/>
      <c r="BG203" s="219" t="s">
        <v>156</v>
      </c>
      <c r="BH203" s="220"/>
      <c r="BI203" s="220"/>
      <c r="BJ203" s="220"/>
      <c r="BK203" s="220"/>
      <c r="BL203" s="221"/>
    </row>
    <row r="204" spans="20:64" ht="12.75" customHeight="1">
      <c r="T204" s="25"/>
      <c r="U204" s="36" t="s">
        <v>155</v>
      </c>
      <c r="V204" s="177">
        <f aca="true" t="shared" si="96" ref="V204:Y206">EXP(V214/100)</f>
        <v>1.0400470736335985</v>
      </c>
      <c r="W204" s="177">
        <f t="shared" si="96"/>
        <v>1.0594521217306636</v>
      </c>
      <c r="X204" s="177">
        <f t="shared" si="96"/>
        <v>1.0628315987090204</v>
      </c>
      <c r="Y204" s="177" t="e">
        <f t="shared" si="96"/>
        <v>#DIV/0!</v>
      </c>
      <c r="AG204" s="25"/>
      <c r="AH204" s="36" t="s">
        <v>157</v>
      </c>
      <c r="AI204" s="189">
        <f>AI209/AI155</f>
        <v>0.23529581202841415</v>
      </c>
      <c r="AJ204" s="189">
        <f>AJ209/AJ155</f>
        <v>0.33179199389757447</v>
      </c>
      <c r="AK204" s="189">
        <f>AK209/AK155</f>
        <v>0.3668882836495782</v>
      </c>
      <c r="AL204" s="189" t="e">
        <f>AL209/AL155</f>
        <v>#DIV/0!</v>
      </c>
      <c r="AT204" s="25"/>
      <c r="AU204" s="36" t="s">
        <v>157</v>
      </c>
      <c r="AV204" s="189">
        <f>AV209/AV155</f>
        <v>0.21442044966049148</v>
      </c>
      <c r="AW204" s="189">
        <f>AW209/AW155</f>
        <v>0.3285037331789094</v>
      </c>
      <c r="AX204" s="189">
        <f>AX209/AX155</f>
        <v>0.33817151830095543</v>
      </c>
      <c r="AY204" s="189" t="e">
        <f>AY209/AY155</f>
        <v>#DIV/0!</v>
      </c>
      <c r="BG204" s="25"/>
      <c r="BH204" s="36" t="s">
        <v>157</v>
      </c>
      <c r="BI204" s="189">
        <f>BI209/BI155</f>
        <v>0.2144585772732827</v>
      </c>
      <c r="BJ204" s="189">
        <f>BJ209/BJ155</f>
        <v>0.33062299707638143</v>
      </c>
      <c r="BK204" s="189">
        <f>BK209/BK155</f>
        <v>0.3390327190939236</v>
      </c>
      <c r="BL204" s="189" t="e">
        <f>BL209/BL155</f>
        <v>#DIV/0!</v>
      </c>
    </row>
    <row r="205" spans="20:64" ht="12.75" customHeight="1">
      <c r="T205" s="243" t="str">
        <f>CONCATENATE(TEXT($E$20,"0"),"% confidence
limits")</f>
        <v>90% confidence
limits</v>
      </c>
      <c r="U205" s="51" t="s">
        <v>19</v>
      </c>
      <c r="V205" s="91">
        <f t="shared" si="96"/>
        <v>1.0316652780997222</v>
      </c>
      <c r="W205" s="91">
        <f t="shared" si="96"/>
        <v>1.046657804003677</v>
      </c>
      <c r="X205" s="91">
        <f t="shared" si="96"/>
        <v>1.0492931963546603</v>
      </c>
      <c r="Y205" s="91" t="e">
        <f t="shared" si="96"/>
        <v>#DIV/0!</v>
      </c>
      <c r="AG205" s="243" t="str">
        <f>CONCATENATE(TEXT($E$20,"0"),"% confidence
limits")</f>
        <v>90% confidence
limits</v>
      </c>
      <c r="AH205" s="26" t="s">
        <v>19</v>
      </c>
      <c r="AI205" s="85">
        <f>SQRT(AI197*AI204^2/CHIINV((100-AI196)/100/2,AI197))</f>
        <v>0.18680742010657908</v>
      </c>
      <c r="AJ205" s="85">
        <f>SQRT(AJ197*AJ204^2/CHIINV((100-AJ196)/100/2,AJ197))</f>
        <v>0.2619894904784531</v>
      </c>
      <c r="AK205" s="85">
        <f>SQRT(AK197*AK204^2/CHIINV((100-AK196)/100/2,AK197))</f>
        <v>0.28970221181870975</v>
      </c>
      <c r="AL205" s="85" t="e">
        <f>SQRT(AL197*AL204^2/CHIINV((100-AL196)/100/2,AL197))</f>
        <v>#DIV/0!</v>
      </c>
      <c r="AT205" s="243" t="str">
        <f>CONCATENATE(TEXT($E$20,"0"),"% confidence
limits")</f>
        <v>90% confidence
limits</v>
      </c>
      <c r="AU205" s="26" t="s">
        <v>19</v>
      </c>
      <c r="AV205" s="85">
        <f>SQRT(AV197*AV204^2/CHIINV((100-AV196)/100/2,AV197))</f>
        <v>0.17023393095637407</v>
      </c>
      <c r="AW205" s="85">
        <f>SQRT(AW197*AW204^2/CHIINV((100-AW196)/100/2,AW197))</f>
        <v>0.2593930150779366</v>
      </c>
      <c r="AX205" s="85">
        <f>SQRT(AX197*AX204^2/CHIINV((100-AX196)/100/2,AX197))</f>
        <v>0.26702688854313517</v>
      </c>
      <c r="AY205" s="85" t="e">
        <f>SQRT(AY197*AY204^2/CHIINV((100-AY196)/100/2,AY197))</f>
        <v>#DIV/0!</v>
      </c>
      <c r="BG205" s="243" t="str">
        <f>CONCATENATE(TEXT($E$20,"0"),"% confidence
limits")</f>
        <v>90% confidence
limits</v>
      </c>
      <c r="BH205" s="26" t="s">
        <v>19</v>
      </c>
      <c r="BI205" s="85">
        <f>SQRT(BI197*BI204^2/CHIINV((100-BI196)/100/2,BI197))</f>
        <v>0.17026420145255908</v>
      </c>
      <c r="BJ205" s="85">
        <f>SQRT(BJ197*BJ204^2/CHIINV((100-BJ196)/100/2,BJ197))</f>
        <v>0.2610664275740184</v>
      </c>
      <c r="BK205" s="85">
        <f>SQRT(BK197*BK204^2/CHIINV((100-BK196)/100/2,BK197))</f>
        <v>0.267706909644003</v>
      </c>
      <c r="BL205" s="85" t="e">
        <f>SQRT(BL197*BL204^2/CHIINV((100-BL196)/100/2,BL197))</f>
        <v>#DIV/0!</v>
      </c>
    </row>
    <row r="206" spans="20:64" ht="12.75" customHeight="1">
      <c r="T206" s="244"/>
      <c r="U206" s="51" t="s">
        <v>20</v>
      </c>
      <c r="V206" s="92">
        <f t="shared" si="96"/>
        <v>1.055284626926516</v>
      </c>
      <c r="W206" s="92">
        <f t="shared" si="96"/>
        <v>1.0832410751038244</v>
      </c>
      <c r="X206" s="92">
        <f t="shared" si="96"/>
        <v>1.088027954109734</v>
      </c>
      <c r="Y206" s="92" t="e">
        <f t="shared" si="96"/>
        <v>#DIV/0!</v>
      </c>
      <c r="AG206" s="244"/>
      <c r="AH206" s="15" t="s">
        <v>20</v>
      </c>
      <c r="AI206" s="86">
        <f>SQRT(AI197*AI204^2/CHIINV(1-(100-AI196)/100/2,AI197))</f>
        <v>0.3224519373309424</v>
      </c>
      <c r="AJ206" s="86">
        <f>SQRT(AJ197*AJ204^2/CHIINV(1-(100-AJ196)/100/2,AJ197))</f>
        <v>0.4593661631246728</v>
      </c>
      <c r="AK206" s="86">
        <f>SQRT(AK197*AK204^2/CHIINV(1-(100-AK196)/100/2,AK197))</f>
        <v>0.507956991896348</v>
      </c>
      <c r="AL206" s="86" t="e">
        <f>SQRT(AL197*AL204^2/CHIINV(1-(100-AL196)/100/2,AL197))</f>
        <v>#DIV/0!</v>
      </c>
      <c r="AT206" s="244"/>
      <c r="AU206" s="15" t="s">
        <v>20</v>
      </c>
      <c r="AV206" s="86">
        <f>SQRT(AV197*AV204^2/CHIINV(1-(100-AV196)/100/2,AV197))</f>
        <v>0.2938441139277394</v>
      </c>
      <c r="AW206" s="86">
        <f>SQRT(AW197*AW204^2/CHIINV(1-(100-AW196)/100/2,AW197))</f>
        <v>0.45481356469713796</v>
      </c>
      <c r="AX206" s="86">
        <f>SQRT(AX197*AX204^2/CHIINV(1-(100-AX196)/100/2,AX197))</f>
        <v>0.4681986174986202</v>
      </c>
      <c r="AY206" s="86" t="e">
        <f>SQRT(AY197*AY204^2/CHIINV(1-(100-AY196)/100/2,AY197))</f>
        <v>#DIV/0!</v>
      </c>
      <c r="BG206" s="244"/>
      <c r="BH206" s="15" t="s">
        <v>20</v>
      </c>
      <c r="BI206" s="86">
        <f>SQRT(BI197*BI204^2/CHIINV(1-(100-BI196)/100/2,BI197))</f>
        <v>0.2938963644225712</v>
      </c>
      <c r="BJ206" s="86">
        <f>SQRT(BJ197*BJ204^2/CHIINV(1-(100-BJ196)/100/2,BJ197))</f>
        <v>0.45774768650578807</v>
      </c>
      <c r="BK206" s="86">
        <f>SQRT(BK197*BK204^2/CHIINV(1-(100-BK196)/100/2,BK197))</f>
        <v>0.46939095037952694</v>
      </c>
      <c r="BL206" s="86" t="e">
        <f>SQRT(BL197*BL204^2/CHIINV(1-(100-BL196)/100/2,BL197))</f>
        <v>#DIV/0!</v>
      </c>
    </row>
    <row r="207" spans="20:64" ht="15">
      <c r="T207" s="245"/>
      <c r="U207" s="16" t="s">
        <v>43</v>
      </c>
      <c r="V207" s="177">
        <f>SQRT(V206/V205)</f>
        <v>1.011382416077813</v>
      </c>
      <c r="W207" s="177">
        <f>SQRT(W206/W205)</f>
        <v>1.0173261354164371</v>
      </c>
      <c r="X207" s="177">
        <f>SQRT(X206/X205)</f>
        <v>1.0182902801959413</v>
      </c>
      <c r="Y207" s="177" t="e">
        <f>SQRT(Y206/Y205)</f>
        <v>#DIV/0!</v>
      </c>
      <c r="AG207" s="245"/>
      <c r="AH207" s="16" t="s">
        <v>43</v>
      </c>
      <c r="AI207" s="84">
        <f>SQRT(AI206/AI205)</f>
        <v>1.3138186846294502</v>
      </c>
      <c r="AJ207" s="84">
        <f>SQRT(AJ206/AJ205)</f>
        <v>1.324151161591075</v>
      </c>
      <c r="AK207" s="84">
        <f>SQRT(AK206/AK205)</f>
        <v>1.324151161591075</v>
      </c>
      <c r="AL207" s="84" t="e">
        <f>SQRT(AL206/AL205)</f>
        <v>#DIV/0!</v>
      </c>
      <c r="AT207" s="245"/>
      <c r="AU207" s="16" t="s">
        <v>43</v>
      </c>
      <c r="AV207" s="84">
        <f>SQRT(AV206/AV205)</f>
        <v>1.31381868462945</v>
      </c>
      <c r="AW207" s="84">
        <f>SQRT(AW206/AW205)</f>
        <v>1.324151161591075</v>
      </c>
      <c r="AX207" s="84">
        <f>SQRT(AX206/AX205)</f>
        <v>1.324151161591075</v>
      </c>
      <c r="AY207" s="84" t="e">
        <f>SQRT(AY206/AY205)</f>
        <v>#DIV/0!</v>
      </c>
      <c r="BG207" s="245"/>
      <c r="BH207" s="16" t="s">
        <v>43</v>
      </c>
      <c r="BI207" s="84">
        <f>SQRT(BI206/BI205)</f>
        <v>1.31381868462945</v>
      </c>
      <c r="BJ207" s="84">
        <f>SQRT(BJ206/BJ205)</f>
        <v>1.324151161591075</v>
      </c>
      <c r="BK207" s="84">
        <f>SQRT(BK206/BK205)</f>
        <v>1.324151161591075</v>
      </c>
      <c r="BL207" s="84" t="e">
        <f>SQRT(BL206/BL205)</f>
        <v>#DIV/0!</v>
      </c>
    </row>
    <row r="208" spans="20:64" ht="12.75">
      <c r="T208" s="219" t="s">
        <v>156</v>
      </c>
      <c r="U208" s="220"/>
      <c r="V208" s="220"/>
      <c r="W208" s="220"/>
      <c r="X208" s="220"/>
      <c r="Y208" s="221"/>
      <c r="AG208" s="219" t="s">
        <v>161</v>
      </c>
      <c r="AH208" s="220"/>
      <c r="AI208" s="220"/>
      <c r="AJ208" s="220"/>
      <c r="AK208" s="220"/>
      <c r="AL208" s="221"/>
      <c r="AT208" s="219" t="s">
        <v>162</v>
      </c>
      <c r="AU208" s="220"/>
      <c r="AV208" s="220"/>
      <c r="AW208" s="220"/>
      <c r="AX208" s="220"/>
      <c r="AY208" s="221"/>
      <c r="BG208" s="219" t="s">
        <v>163</v>
      </c>
      <c r="BH208" s="220"/>
      <c r="BI208" s="220"/>
      <c r="BJ208" s="220"/>
      <c r="BK208" s="220"/>
      <c r="BL208" s="221"/>
    </row>
    <row r="209" spans="20:64" ht="12.75">
      <c r="T209" s="25"/>
      <c r="U209" s="36" t="s">
        <v>157</v>
      </c>
      <c r="V209" s="189">
        <f>V214/V155</f>
        <v>0.21386679129714536</v>
      </c>
      <c r="W209" s="189">
        <f>W214/W155</f>
        <v>0.3145526177663575</v>
      </c>
      <c r="X209" s="189">
        <f>X214/X155</f>
        <v>0.3318987789490999</v>
      </c>
      <c r="Y209" s="189" t="e">
        <f>Y214/Y155</f>
        <v>#DIV/0!</v>
      </c>
      <c r="AG209" s="25"/>
      <c r="AH209" s="36" t="s">
        <v>45</v>
      </c>
      <c r="AI209" s="185">
        <f>AI45/SQRT(2)</f>
        <v>6.872771862097183</v>
      </c>
      <c r="AJ209" s="185">
        <f>AJ45/SQRT(2)</f>
        <v>9.691335600367587</v>
      </c>
      <c r="AK209" s="185">
        <f>AK45/SQRT(2)</f>
        <v>10.716465587136977</v>
      </c>
      <c r="AL209" s="185" t="e">
        <f>AL45/SQRT(2)</f>
        <v>#DIV/0!</v>
      </c>
      <c r="AT209" s="25"/>
      <c r="AU209" s="36" t="s">
        <v>45</v>
      </c>
      <c r="AV209" s="190">
        <f>AV45/SQRT(2)</f>
        <v>0.06697235395353698</v>
      </c>
      <c r="AW209" s="190">
        <f>AW45/SQRT(2)</f>
        <v>0.10260527075823019</v>
      </c>
      <c r="AX209" s="190">
        <f>AX45/SQRT(2)</f>
        <v>0.10562491896886307</v>
      </c>
      <c r="AY209" s="185" t="e">
        <f>AY45/SQRT(2)</f>
        <v>#DIV/0!</v>
      </c>
      <c r="BG209" s="25"/>
      <c r="BH209" s="36" t="s">
        <v>45</v>
      </c>
      <c r="BI209" s="193">
        <f>BI45/SQRT(2)</f>
        <v>0.007135800573000888</v>
      </c>
      <c r="BJ209" s="193">
        <f>BJ45/SQRT(2)</f>
        <v>0.011001004492249939</v>
      </c>
      <c r="BK209" s="193">
        <f>BK45/SQRT(2)</f>
        <v>0.01128082589158285</v>
      </c>
      <c r="BL209" s="185" t="e">
        <f>BL45/SQRT(2)</f>
        <v>#DIV/0!</v>
      </c>
    </row>
    <row r="210" spans="20:64" ht="12.75" customHeight="1">
      <c r="T210" s="243" t="str">
        <f>CONCATENATE(TEXT($E$20,"0"),"% confidence
limits")</f>
        <v>90% confidence
limits</v>
      </c>
      <c r="U210" s="26" t="s">
        <v>19</v>
      </c>
      <c r="V210" s="85">
        <f>SQRT(V197*V209^2/CHIINV((100-V196)/100/2,V197))</f>
        <v>0.16979436728719738</v>
      </c>
      <c r="W210" s="85">
        <f>SQRT(W197*W209^2/CHIINV((100-W196)/100/2,W197))</f>
        <v>0.2483769396880377</v>
      </c>
      <c r="X210" s="85">
        <f>SQRT(X197*X209^2/CHIINV((100-X196)/100/2,X197))</f>
        <v>0.2620738100574497</v>
      </c>
      <c r="Y210" s="85" t="e">
        <f>SQRT(Y197*Y209^2/CHIINV((100-Y196)/100/2,Y197))</f>
        <v>#DIV/0!</v>
      </c>
      <c r="AG210" s="243" t="str">
        <f>CONCATENATE(TEXT($E$20,"0"),"% confidence
limits")</f>
        <v>90% confidence
limits</v>
      </c>
      <c r="AH210" s="26" t="s">
        <v>19</v>
      </c>
      <c r="AI210" s="186">
        <f>SQRT(AI197*AI209^2/CHIINV((100-AI196)/100/2,AI197))</f>
        <v>5.456471024585951</v>
      </c>
      <c r="AJ210" s="186">
        <f>SQRT(AJ197*AJ209^2/CHIINV((100-AJ196)/100/2,AJ197))</f>
        <v>7.652469386527169</v>
      </c>
      <c r="AK210" s="186">
        <f>SQRT(AK197*AK209^2/CHIINV((100-AK196)/100/2,AK197))</f>
        <v>8.461932206147841</v>
      </c>
      <c r="AL210" s="186" t="e">
        <f>SQRT(AL197*AL209^2/CHIINV((100-AL196)/100/2,AL197))</f>
        <v>#DIV/0!</v>
      </c>
      <c r="AT210" s="243" t="str">
        <f>CONCATENATE(TEXT($E$20,"0"),"% confidence
limits")</f>
        <v>90% confidence
limits</v>
      </c>
      <c r="AU210" s="26" t="s">
        <v>19</v>
      </c>
      <c r="AV210" s="191">
        <f>SQRT(AV197*AV209^2/CHIINV((100-AV196)/100/2,AV197))</f>
        <v>0.05317108091585619</v>
      </c>
      <c r="AW210" s="191">
        <f>SQRT(AW197*AW209^2/CHIINV((100-AW196)/100/2,AW197))</f>
        <v>0.08101914181404535</v>
      </c>
      <c r="AX210" s="191">
        <f>SQRT(AX197*AX209^2/CHIINV((100-AX196)/100/2,AX197))</f>
        <v>0.0834035154899578</v>
      </c>
      <c r="AY210" s="186" t="e">
        <f>SQRT(AY197*AY209^2/CHIINV((100-AY196)/100/2,AY197))</f>
        <v>#DIV/0!</v>
      </c>
      <c r="BG210" s="243" t="str">
        <f>CONCATENATE(TEXT($E$20,"0"),"% confidence
limits")</f>
        <v>90% confidence
limits</v>
      </c>
      <c r="BH210" s="26" t="s">
        <v>19</v>
      </c>
      <c r="BI210" s="194">
        <f>SQRT(BI197*BI209^2/CHIINV((100-BI196)/100/2,BI197))</f>
        <v>0.005665296309125851</v>
      </c>
      <c r="BJ210" s="194">
        <f>SQRT(BJ197*BJ209^2/CHIINV((100-BJ196)/100/2,BJ197))</f>
        <v>0.008686609727435032</v>
      </c>
      <c r="BK210" s="194">
        <f>SQRT(BK197*BK209^2/CHIINV((100-BK196)/100/2,BK197))</f>
        <v>0.008907562213283225</v>
      </c>
      <c r="BL210" s="186" t="e">
        <f>SQRT(BL197*BL209^2/CHIINV((100-BL196)/100/2,BL197))</f>
        <v>#DIV/0!</v>
      </c>
    </row>
    <row r="211" spans="20:64" ht="24">
      <c r="T211" s="244"/>
      <c r="U211" s="15" t="s">
        <v>20</v>
      </c>
      <c r="V211" s="86">
        <f>SQRT(V197*V209^2/CHIINV(1-(100-V196)/100/2,V197))</f>
        <v>0.2930853744910219</v>
      </c>
      <c r="W211" s="86">
        <f>SQRT(W197*W209^2/CHIINV(1-(100-W196)/100/2,W197))</f>
        <v>0.4354982392033232</v>
      </c>
      <c r="X211" s="86">
        <f>SQRT(X197*X209^2/CHIINV(1-(100-X196)/100/2,X197))</f>
        <v>0.45951400707600537</v>
      </c>
      <c r="Y211" s="86" t="e">
        <f>SQRT(Y197*Y209^2/CHIINV(1-(100-Y196)/100/2,Y197))</f>
        <v>#DIV/0!</v>
      </c>
      <c r="AG211" s="244"/>
      <c r="AH211" s="15" t="s">
        <v>20</v>
      </c>
      <c r="AI211" s="187">
        <f>SQRT(AI197*AI209^2/CHIINV(1-(100-AI196)/100/2,AI197))</f>
        <v>9.418521233600222</v>
      </c>
      <c r="AJ211" s="187">
        <f>SQRT(AJ197*AJ209^2/CHIINV(1-(100-AJ196)/100/2,AJ197))</f>
        <v>13.417658449193071</v>
      </c>
      <c r="AK211" s="187">
        <f>SQRT(AK197*AK209^2/CHIINV(1-(100-AK196)/100/2,AK197))</f>
        <v>14.836951371829635</v>
      </c>
      <c r="AL211" s="187" t="e">
        <f>SQRT(AL197*AL209^2/CHIINV(1-(100-AL196)/100/2,AL197))</f>
        <v>#DIV/0!</v>
      </c>
      <c r="AT211" s="244"/>
      <c r="AU211" s="15" t="s">
        <v>20</v>
      </c>
      <c r="AV211" s="192">
        <f>SQRT(AV197*AV209^2/CHIINV(1-(100-AV196)/100/2,AV197))</f>
        <v>0.09177964152342737</v>
      </c>
      <c r="AW211" s="192">
        <f>SQRT(AW197*AW209^2/CHIINV(1-(100-AW196)/100/2,AW197))</f>
        <v>0.14205704300124453</v>
      </c>
      <c r="AX211" s="192">
        <f>SQRT(AX197*AX209^2/CHIINV(1-(100-AX196)/100/2,AX197))</f>
        <v>0.14623774729193612</v>
      </c>
      <c r="AY211" s="187" t="e">
        <f>SQRT(AY197*AY209^2/CHIINV(1-(100-AY196)/100/2,AY197))</f>
        <v>#DIV/0!</v>
      </c>
      <c r="BG211" s="244"/>
      <c r="BH211" s="15" t="s">
        <v>20</v>
      </c>
      <c r="BI211" s="195">
        <f>SQRT(BI197*BI209^2/CHIINV(1-(100-BI196)/100/2,BI197))</f>
        <v>0.009778978636872313</v>
      </c>
      <c r="BJ211" s="195">
        <f>SQRT(BJ197*BJ209^2/CHIINV(1-(100-BJ196)/100/2,BJ197))</f>
        <v>0.01523089561251492</v>
      </c>
      <c r="BK211" s="195">
        <f>SQRT(BK197*BK209^2/CHIINV(1-(100-BK196)/100/2,BK197))</f>
        <v>0.015618308464349489</v>
      </c>
      <c r="BL211" s="187" t="e">
        <f>SQRT(BL197*BL209^2/CHIINV(1-(100-BL196)/100/2,BL197))</f>
        <v>#DIV/0!</v>
      </c>
    </row>
    <row r="212" spans="20:64" ht="15">
      <c r="T212" s="245"/>
      <c r="U212" s="16" t="s">
        <v>43</v>
      </c>
      <c r="V212" s="84">
        <f>SQRT(V211/V210)</f>
        <v>1.3138186846294502</v>
      </c>
      <c r="W212" s="84">
        <f>SQRT(W211/W210)</f>
        <v>1.324151161591075</v>
      </c>
      <c r="X212" s="84">
        <f>SQRT(X211/X210)</f>
        <v>1.324151161591075</v>
      </c>
      <c r="Y212" s="84" t="e">
        <f>SQRT(Y211/Y210)</f>
        <v>#DIV/0!</v>
      </c>
      <c r="AG212" s="245"/>
      <c r="AH212" s="16" t="s">
        <v>43</v>
      </c>
      <c r="AI212" s="54">
        <f>SQRT(AI211/AI210)</f>
        <v>1.3138186846294502</v>
      </c>
      <c r="AJ212" s="54">
        <f>SQRT(AJ211/AJ210)</f>
        <v>1.324151161591075</v>
      </c>
      <c r="AK212" s="54">
        <f>SQRT(AK211/AK210)</f>
        <v>1.324151161591075</v>
      </c>
      <c r="AL212" s="54" t="e">
        <f>SQRT(AL211/AL210)</f>
        <v>#DIV/0!</v>
      </c>
      <c r="AT212" s="245"/>
      <c r="AU212" s="16" t="s">
        <v>43</v>
      </c>
      <c r="AV212" s="54">
        <f>SQRT(AV211/AV210)</f>
        <v>1.31381868462945</v>
      </c>
      <c r="AW212" s="54">
        <f>SQRT(AW211/AW210)</f>
        <v>1.324151161591075</v>
      </c>
      <c r="AX212" s="54">
        <f>SQRT(AX211/AX210)</f>
        <v>1.324151161591075</v>
      </c>
      <c r="AY212" s="54" t="e">
        <f>SQRT(AY211/AY210)</f>
        <v>#DIV/0!</v>
      </c>
      <c r="BG212" s="245"/>
      <c r="BH212" s="16" t="s">
        <v>43</v>
      </c>
      <c r="BI212" s="54">
        <f>SQRT(BI211/BI210)</f>
        <v>1.31381868462945</v>
      </c>
      <c r="BJ212" s="54">
        <f>SQRT(BJ211/BJ210)</f>
        <v>1.324151161591075</v>
      </c>
      <c r="BK212" s="54">
        <f>SQRT(BK211/BK210)</f>
        <v>1.324151161591075</v>
      </c>
      <c r="BL212" s="54" t="e">
        <f>SQRT(BL211/BL210)</f>
        <v>#DIV/0!</v>
      </c>
    </row>
    <row r="213" spans="20:25" ht="12.75">
      <c r="T213" s="219" t="s">
        <v>150</v>
      </c>
      <c r="U213" s="220"/>
      <c r="V213" s="220"/>
      <c r="W213" s="220"/>
      <c r="X213" s="220"/>
      <c r="Y213" s="221"/>
    </row>
    <row r="214" spans="20:25" ht="12.75">
      <c r="T214" s="25"/>
      <c r="U214" s="36" t="s">
        <v>45</v>
      </c>
      <c r="V214" s="185">
        <f>V45/SQRT(2)</f>
        <v>3.9265975238167052</v>
      </c>
      <c r="W214" s="185">
        <f>W45/SQRT(2)</f>
        <v>5.775190821072219</v>
      </c>
      <c r="X214" s="185">
        <f>X45/SQRT(2)</f>
        <v>6.093666602818288</v>
      </c>
      <c r="Y214" s="185" t="e">
        <f>Y45/SQRT(2)</f>
        <v>#DIV/0!</v>
      </c>
    </row>
    <row r="215" spans="20:25" ht="12.75">
      <c r="T215" s="243" t="str">
        <f>CONCATENATE(TEXT($E$20,"0"),"% confidence
limits")</f>
        <v>90% confidence
limits</v>
      </c>
      <c r="U215" s="26" t="s">
        <v>19</v>
      </c>
      <c r="V215" s="186">
        <f>SQRT(V197*V214^2/CHIINV((100-V196)/100/2,V197))</f>
        <v>3.1174271522202077</v>
      </c>
      <c r="W215" s="186">
        <f>SQRT(W197*W214^2/CHIINV((100-W196)/100/2,W197))</f>
        <v>4.560204370379206</v>
      </c>
      <c r="X215" s="186">
        <f>SQRT(X197*X214^2/CHIINV((100-X196)/100/2,X197))</f>
        <v>4.81167911758223</v>
      </c>
      <c r="Y215" s="186" t="e">
        <f>SQRT(Y197*Y214^2/CHIINV((100-Y196)/100/2,Y197))</f>
        <v>#DIV/0!</v>
      </c>
    </row>
    <row r="216" spans="20:25" ht="12.75">
      <c r="T216" s="244"/>
      <c r="U216" s="15" t="s">
        <v>20</v>
      </c>
      <c r="V216" s="187">
        <f>SQRT(V197*V214^2/CHIINV(1-(100-V196)/100/2,V197))</f>
        <v>5.381051909758087</v>
      </c>
      <c r="W216" s="187">
        <f>SQRT(W197*W214^2/CHIINV(1-(100-W196)/100/2,W197))</f>
        <v>7.995754260447115</v>
      </c>
      <c r="X216" s="187">
        <f>SQRT(X197*X214^2/CHIINV(1-(100-X196)/100/2,X197))</f>
        <v>8.436684121925284</v>
      </c>
      <c r="Y216" s="187" t="e">
        <f>SQRT(Y197*Y214^2/CHIINV(1-(100-Y196)/100/2,Y197))</f>
        <v>#DIV/0!</v>
      </c>
    </row>
    <row r="217" spans="20:25" ht="15">
      <c r="T217" s="245"/>
      <c r="U217" s="16" t="s">
        <v>43</v>
      </c>
      <c r="V217" s="54">
        <f>SQRT(V216/V215)</f>
        <v>1.31381868462945</v>
      </c>
      <c r="W217" s="54">
        <f>SQRT(W216/W215)</f>
        <v>1.324151161591075</v>
      </c>
      <c r="X217" s="54">
        <f>SQRT(X216/X215)</f>
        <v>1.324151161591075</v>
      </c>
      <c r="Y217" s="54" t="e">
        <f>SQRT(Y216/Y215)</f>
        <v>#DIV/0!</v>
      </c>
    </row>
  </sheetData>
  <mergeCells count="307">
    <mergeCell ref="BB179:BB180"/>
    <mergeCell ref="BB135:BB136"/>
    <mergeCell ref="AB179:AB180"/>
    <mergeCell ref="AB157:AB158"/>
    <mergeCell ref="AB136:AB137"/>
    <mergeCell ref="AO179:AO180"/>
    <mergeCell ref="AO135:AO136"/>
    <mergeCell ref="B113:B114"/>
    <mergeCell ref="B135:B136"/>
    <mergeCell ref="O179:O180"/>
    <mergeCell ref="O157:O158"/>
    <mergeCell ref="O135:O136"/>
    <mergeCell ref="O113:O114"/>
    <mergeCell ref="BG210:BG212"/>
    <mergeCell ref="BG205:BG207"/>
    <mergeCell ref="AT195:AU195"/>
    <mergeCell ref="AT210:AT212"/>
    <mergeCell ref="AT205:AT207"/>
    <mergeCell ref="BG200:BG202"/>
    <mergeCell ref="AT200:AT202"/>
    <mergeCell ref="BG195:BH195"/>
    <mergeCell ref="G164:G166"/>
    <mergeCell ref="AG195:AH195"/>
    <mergeCell ref="AG179:AG180"/>
    <mergeCell ref="AB171:AB176"/>
    <mergeCell ref="AC171:AC172"/>
    <mergeCell ref="AC173:AC174"/>
    <mergeCell ref="AC175:AC176"/>
    <mergeCell ref="AB183:AC183"/>
    <mergeCell ref="AB185:AB187"/>
    <mergeCell ref="AB188:AB189"/>
    <mergeCell ref="AG210:AG212"/>
    <mergeCell ref="T195:U195"/>
    <mergeCell ref="T200:T201"/>
    <mergeCell ref="AG200:AG202"/>
    <mergeCell ref="AB190:AB195"/>
    <mergeCell ref="AC190:AC191"/>
    <mergeCell ref="AC192:AC193"/>
    <mergeCell ref="AC194:AC195"/>
    <mergeCell ref="AG205:AG207"/>
    <mergeCell ref="T215:T217"/>
    <mergeCell ref="G154:H154"/>
    <mergeCell ref="G159:G161"/>
    <mergeCell ref="T205:T207"/>
    <mergeCell ref="T210:T212"/>
    <mergeCell ref="O188:O189"/>
    <mergeCell ref="O190:O195"/>
    <mergeCell ref="P190:P191"/>
    <mergeCell ref="P192:P193"/>
    <mergeCell ref="P194:P195"/>
    <mergeCell ref="BB22:BC22"/>
    <mergeCell ref="BD22:BF22"/>
    <mergeCell ref="BI22:BL22"/>
    <mergeCell ref="AI22:AL22"/>
    <mergeCell ref="AO22:AP22"/>
    <mergeCell ref="AQ22:AS22"/>
    <mergeCell ref="AV22:AY22"/>
    <mergeCell ref="AO95:AP95"/>
    <mergeCell ref="AT95:AU95"/>
    <mergeCell ref="Q22:S22"/>
    <mergeCell ref="V22:Y22"/>
    <mergeCell ref="AB22:AC22"/>
    <mergeCell ref="AD22:AF22"/>
    <mergeCell ref="AG95:AH95"/>
    <mergeCell ref="B22:C22"/>
    <mergeCell ref="D22:F22"/>
    <mergeCell ref="I22:L22"/>
    <mergeCell ref="O22:P22"/>
    <mergeCell ref="BB95:BC95"/>
    <mergeCell ref="BG95:BH95"/>
    <mergeCell ref="B18:D18"/>
    <mergeCell ref="BB190:BB195"/>
    <mergeCell ref="BC190:BC191"/>
    <mergeCell ref="BC192:BC193"/>
    <mergeCell ref="BC194:BC195"/>
    <mergeCell ref="AP127:AP128"/>
    <mergeCell ref="AT127:AT132"/>
    <mergeCell ref="AU127:AU128"/>
    <mergeCell ref="AP129:AP130"/>
    <mergeCell ref="AB95:AC95"/>
    <mergeCell ref="BG179:BG180"/>
    <mergeCell ref="BB183:BC183"/>
    <mergeCell ref="BG169:BG170"/>
    <mergeCell ref="BG157:BG158"/>
    <mergeCell ref="BB161:BC161"/>
    <mergeCell ref="BG161:BH161"/>
    <mergeCell ref="BB166:BB168"/>
    <mergeCell ref="BG166:BG168"/>
    <mergeCell ref="BB185:BB187"/>
    <mergeCell ref="BB188:BB189"/>
    <mergeCell ref="BH171:BH172"/>
    <mergeCell ref="BC173:BC174"/>
    <mergeCell ref="BH173:BH174"/>
    <mergeCell ref="BC175:BC176"/>
    <mergeCell ref="BH175:BH176"/>
    <mergeCell ref="BB171:BB176"/>
    <mergeCell ref="BC171:BC172"/>
    <mergeCell ref="BG171:BG176"/>
    <mergeCell ref="BH149:BH150"/>
    <mergeCell ref="BC151:BC152"/>
    <mergeCell ref="BH151:BH152"/>
    <mergeCell ref="BC153:BC154"/>
    <mergeCell ref="BH153:BH154"/>
    <mergeCell ref="BG147:BG148"/>
    <mergeCell ref="BB149:BB154"/>
    <mergeCell ref="BC149:BC150"/>
    <mergeCell ref="BG149:BG154"/>
    <mergeCell ref="BG135:BG136"/>
    <mergeCell ref="BB139:BC139"/>
    <mergeCell ref="BB144:BB146"/>
    <mergeCell ref="BG144:BG146"/>
    <mergeCell ref="BG127:BG132"/>
    <mergeCell ref="BH127:BH128"/>
    <mergeCell ref="BC129:BC130"/>
    <mergeCell ref="BH129:BH130"/>
    <mergeCell ref="BC131:BC132"/>
    <mergeCell ref="BH131:BH132"/>
    <mergeCell ref="BG117:BH117"/>
    <mergeCell ref="BB122:BB124"/>
    <mergeCell ref="BG122:BG124"/>
    <mergeCell ref="BB125:BB126"/>
    <mergeCell ref="BG125:BG126"/>
    <mergeCell ref="BB117:BC117"/>
    <mergeCell ref="AG117:AH117"/>
    <mergeCell ref="AB122:AB124"/>
    <mergeCell ref="AG122:AG124"/>
    <mergeCell ref="AB125:AB126"/>
    <mergeCell ref="AG125:AG126"/>
    <mergeCell ref="AH131:AH132"/>
    <mergeCell ref="O122:O124"/>
    <mergeCell ref="O125:O126"/>
    <mergeCell ref="O127:O132"/>
    <mergeCell ref="AC127:AC128"/>
    <mergeCell ref="AG127:AG132"/>
    <mergeCell ref="AC129:AC130"/>
    <mergeCell ref="AH127:AH128"/>
    <mergeCell ref="AH129:AH130"/>
    <mergeCell ref="AB127:AB132"/>
    <mergeCell ref="BB127:BB132"/>
    <mergeCell ref="BC127:BC128"/>
    <mergeCell ref="BB147:BB148"/>
    <mergeCell ref="BB157:BB158"/>
    <mergeCell ref="BB169:BB170"/>
    <mergeCell ref="AT135:AT136"/>
    <mergeCell ref="AT179:AT180"/>
    <mergeCell ref="AU149:AU150"/>
    <mergeCell ref="AT157:AT158"/>
    <mergeCell ref="AU171:AU172"/>
    <mergeCell ref="AU173:AU174"/>
    <mergeCell ref="AU175:AU176"/>
    <mergeCell ref="AT161:AU161"/>
    <mergeCell ref="AT144:AT146"/>
    <mergeCell ref="AO183:AP183"/>
    <mergeCell ref="AO185:AO187"/>
    <mergeCell ref="AO188:AO189"/>
    <mergeCell ref="AO190:AO195"/>
    <mergeCell ref="AP190:AP191"/>
    <mergeCell ref="AP192:AP193"/>
    <mergeCell ref="AP194:AP195"/>
    <mergeCell ref="B147:B148"/>
    <mergeCell ref="B149:B154"/>
    <mergeCell ref="C153:C154"/>
    <mergeCell ref="C151:C152"/>
    <mergeCell ref="C149:C150"/>
    <mergeCell ref="O183:P183"/>
    <mergeCell ref="O185:O187"/>
    <mergeCell ref="AO139:AP139"/>
    <mergeCell ref="AO144:AO146"/>
    <mergeCell ref="AO147:AO148"/>
    <mergeCell ref="AO149:AO154"/>
    <mergeCell ref="AP149:AP150"/>
    <mergeCell ref="AP151:AP152"/>
    <mergeCell ref="AP153:AP154"/>
    <mergeCell ref="AO157:AO158"/>
    <mergeCell ref="O117:P117"/>
    <mergeCell ref="O139:P139"/>
    <mergeCell ref="O161:P161"/>
    <mergeCell ref="P149:P150"/>
    <mergeCell ref="P151:P152"/>
    <mergeCell ref="P153:P154"/>
    <mergeCell ref="P127:P128"/>
    <mergeCell ref="P129:P130"/>
    <mergeCell ref="P131:P132"/>
    <mergeCell ref="P171:P172"/>
    <mergeCell ref="P173:P174"/>
    <mergeCell ref="P175:P176"/>
    <mergeCell ref="AO161:AP161"/>
    <mergeCell ref="AO166:AO168"/>
    <mergeCell ref="AO169:AO170"/>
    <mergeCell ref="AO171:AO176"/>
    <mergeCell ref="AP171:AP172"/>
    <mergeCell ref="AP173:AP174"/>
    <mergeCell ref="AP175:AP176"/>
    <mergeCell ref="O166:O168"/>
    <mergeCell ref="O169:O170"/>
    <mergeCell ref="O171:O176"/>
    <mergeCell ref="O144:O146"/>
    <mergeCell ref="O147:O148"/>
    <mergeCell ref="O149:O154"/>
    <mergeCell ref="O105:O110"/>
    <mergeCell ref="P105:P106"/>
    <mergeCell ref="P107:P108"/>
    <mergeCell ref="P109:P110"/>
    <mergeCell ref="C129:C130"/>
    <mergeCell ref="C131:C132"/>
    <mergeCell ref="B122:B124"/>
    <mergeCell ref="B125:B126"/>
    <mergeCell ref="B127:B132"/>
    <mergeCell ref="B117:C117"/>
    <mergeCell ref="B144:B146"/>
    <mergeCell ref="B142:C142"/>
    <mergeCell ref="B100:B102"/>
    <mergeCell ref="B103:B104"/>
    <mergeCell ref="B105:B110"/>
    <mergeCell ref="C105:C106"/>
    <mergeCell ref="C107:C108"/>
    <mergeCell ref="C109:C110"/>
    <mergeCell ref="C127:C128"/>
    <mergeCell ref="B95:C95"/>
    <mergeCell ref="O100:O101"/>
    <mergeCell ref="O103:O104"/>
    <mergeCell ref="T100:T101"/>
    <mergeCell ref="G100:G102"/>
    <mergeCell ref="G103:G104"/>
    <mergeCell ref="O95:P95"/>
    <mergeCell ref="AO125:AO126"/>
    <mergeCell ref="AT125:AT126"/>
    <mergeCell ref="AO127:AO132"/>
    <mergeCell ref="AO117:AP117"/>
    <mergeCell ref="AO122:AO124"/>
    <mergeCell ref="AT117:AU117"/>
    <mergeCell ref="AT122:AT124"/>
    <mergeCell ref="AU129:AU130"/>
    <mergeCell ref="AP131:AP132"/>
    <mergeCell ref="AU131:AU132"/>
    <mergeCell ref="AT147:AT148"/>
    <mergeCell ref="AT149:AT154"/>
    <mergeCell ref="AU151:AU152"/>
    <mergeCell ref="AU153:AU154"/>
    <mergeCell ref="AH175:AH176"/>
    <mergeCell ref="AT166:AT168"/>
    <mergeCell ref="AT169:AT170"/>
    <mergeCell ref="AT171:AT176"/>
    <mergeCell ref="U149:U150"/>
    <mergeCell ref="U151:U152"/>
    <mergeCell ref="U153:U154"/>
    <mergeCell ref="AH173:AH174"/>
    <mergeCell ref="AB161:AC161"/>
    <mergeCell ref="AB166:AB168"/>
    <mergeCell ref="AB169:AB170"/>
    <mergeCell ref="AB149:AB154"/>
    <mergeCell ref="AC149:AC150"/>
    <mergeCell ref="AC151:AC152"/>
    <mergeCell ref="U105:U106"/>
    <mergeCell ref="U107:U108"/>
    <mergeCell ref="U109:U110"/>
    <mergeCell ref="AC131:AC132"/>
    <mergeCell ref="AB117:AC117"/>
    <mergeCell ref="T113:T114"/>
    <mergeCell ref="U129:U130"/>
    <mergeCell ref="U131:U132"/>
    <mergeCell ref="U127:U128"/>
    <mergeCell ref="AG157:AG158"/>
    <mergeCell ref="AB139:AC139"/>
    <mergeCell ref="AB144:AB146"/>
    <mergeCell ref="AG136:AG137"/>
    <mergeCell ref="AG144:AG146"/>
    <mergeCell ref="AG147:AG148"/>
    <mergeCell ref="AG149:AG154"/>
    <mergeCell ref="AB147:AB148"/>
    <mergeCell ref="AC153:AC154"/>
    <mergeCell ref="T157:T158"/>
    <mergeCell ref="T135:T136"/>
    <mergeCell ref="T103:T104"/>
    <mergeCell ref="T105:T110"/>
    <mergeCell ref="T122:T124"/>
    <mergeCell ref="T125:T126"/>
    <mergeCell ref="T127:T132"/>
    <mergeCell ref="T147:T148"/>
    <mergeCell ref="T149:T154"/>
    <mergeCell ref="T144:T146"/>
    <mergeCell ref="U173:U174"/>
    <mergeCell ref="U175:U176"/>
    <mergeCell ref="AH149:AH150"/>
    <mergeCell ref="AH151:AH152"/>
    <mergeCell ref="AH153:AH154"/>
    <mergeCell ref="AG166:AG168"/>
    <mergeCell ref="AG169:AG170"/>
    <mergeCell ref="AG171:AG176"/>
    <mergeCell ref="AH171:AH172"/>
    <mergeCell ref="U171:U172"/>
    <mergeCell ref="T179:T180"/>
    <mergeCell ref="T166:T168"/>
    <mergeCell ref="T169:T170"/>
    <mergeCell ref="T171:T176"/>
    <mergeCell ref="H127:H128"/>
    <mergeCell ref="H129:H130"/>
    <mergeCell ref="H131:H132"/>
    <mergeCell ref="G135:G136"/>
    <mergeCell ref="G105:G110"/>
    <mergeCell ref="H105:H106"/>
    <mergeCell ref="H107:H108"/>
    <mergeCell ref="H109:H110"/>
    <mergeCell ref="G113:G114"/>
    <mergeCell ref="G122:G124"/>
    <mergeCell ref="G125:G126"/>
    <mergeCell ref="G127:G132"/>
  </mergeCells>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K56" sqref="K52:N56"/>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New View of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of controlled trials</dc:title>
  <dc:subject/>
  <dc:creator>Will Hopkins</dc:creator>
  <cp:keywords/>
  <dc:description/>
  <cp:lastModifiedBy>Reviewer</cp:lastModifiedBy>
  <dcterms:created xsi:type="dcterms:W3CDTF">2003-10-13T20:09:38Z</dcterms:created>
  <dcterms:modified xsi:type="dcterms:W3CDTF">2005-12-04T11:20:59Z</dcterms:modified>
  <cp:category/>
  <cp:version/>
  <cp:contentType/>
  <cp:contentStatus/>
</cp:coreProperties>
</file>